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416" windowWidth="15195" windowHeight="8445" activeTab="0"/>
  </bookViews>
  <sheets>
    <sheet name="TEFC Annual Estimated Savings" sheetId="1" r:id="rId1"/>
    <sheet name="TEFC Efficiency Values" sheetId="2" r:id="rId2"/>
    <sheet name="ODP Annual Estimated Savings" sheetId="3" r:id="rId3"/>
    <sheet name="ODP Efficiency Values" sheetId="4" r:id="rId4"/>
  </sheets>
  <definedNames/>
  <calcPr fullCalcOnLoad="1"/>
</workbook>
</file>

<file path=xl/sharedStrings.xml><?xml version="1.0" encoding="utf-8"?>
<sst xmlns="http://schemas.openxmlformats.org/spreadsheetml/2006/main" count="98" uniqueCount="37">
  <si>
    <t>Size (hp)</t>
  </si>
  <si>
    <t>Estimated Annual
Operating Costs</t>
  </si>
  <si>
    <t>Estimated Annual
Energy Savings</t>
  </si>
  <si>
    <t>EPAct →
NEMA Prem</t>
  </si>
  <si>
    <t>Pre-EPAct →
NEMA Prem</t>
  </si>
  <si>
    <t>Pre-EPAct →
EPAct</t>
  </si>
  <si>
    <r>
      <t xml:space="preserve">Energy Efficient </t>
    </r>
    <r>
      <rPr>
        <sz val="9"/>
        <rFont val="Arial"/>
        <family val="2"/>
      </rPr>
      <t>→</t>
    </r>
    <r>
      <rPr>
        <b/>
        <sz val="9"/>
        <rFont val="Arial"/>
        <family val="2"/>
      </rPr>
      <t xml:space="preserve"> 
EPAct</t>
    </r>
  </si>
  <si>
    <r>
      <t xml:space="preserve">Energy Efficient </t>
    </r>
    <r>
      <rPr>
        <sz val="9"/>
        <rFont val="Arial"/>
        <family val="2"/>
      </rPr>
      <t>→</t>
    </r>
    <r>
      <rPr>
        <b/>
        <sz val="9"/>
        <rFont val="Arial"/>
        <family val="2"/>
      </rPr>
      <t xml:space="preserve"> 
NEMA Prem</t>
    </r>
  </si>
  <si>
    <t>¢ per kWh</t>
  </si>
  <si>
    <t xml:space="preserve">Pre-EPAct Motors </t>
  </si>
  <si>
    <t>EPAct Motors</t>
  </si>
  <si>
    <t xml:space="preserve">NEMA Prem
Motors </t>
  </si>
  <si>
    <t>Pre-EPAct Motors</t>
  </si>
  <si>
    <t>NEMA Energy
Efficient Motors</t>
  </si>
  <si>
    <t>NEMA Prem
Motors</t>
  </si>
  <si>
    <r>
      <t>Motor
Size</t>
    </r>
    <r>
      <rPr>
        <b/>
        <vertAlign val="superscript"/>
        <sz val="10"/>
        <rFont val="Arial"/>
        <family val="2"/>
      </rPr>
      <t>2</t>
    </r>
    <r>
      <rPr>
        <b/>
        <sz val="10"/>
        <rFont val="Arial"/>
        <family val="2"/>
      </rPr>
      <t xml:space="preserve"> (hp)</t>
    </r>
  </si>
  <si>
    <t>Enter Appropriate Values for:</t>
  </si>
  <si>
    <t>Annual Operating Hours :</t>
  </si>
  <si>
    <t>hrs per year</t>
  </si>
  <si>
    <t xml:space="preserve">Cost of Electricity : </t>
  </si>
  <si>
    <r>
      <t>Pre-EPAct</t>
    </r>
    <r>
      <rPr>
        <vertAlign val="superscript"/>
        <sz val="10"/>
        <color indexed="12"/>
        <rFont val="Arial"/>
        <family val="2"/>
      </rPr>
      <t>1</t>
    </r>
  </si>
  <si>
    <t>2. EPAct: Energy Policy Act of 1992</t>
  </si>
  <si>
    <t>3. Energy Efficient: NEMA MG 1-2003 Table 12-11</t>
  </si>
  <si>
    <t xml:space="preserve">4. NEMA Premium: NEMA MG 1-2003 Table 12-12 </t>
  </si>
  <si>
    <r>
      <t>EPAct</t>
    </r>
    <r>
      <rPr>
        <vertAlign val="superscript"/>
        <sz val="10"/>
        <color indexed="10"/>
        <rFont val="Arial"/>
        <family val="2"/>
      </rPr>
      <t>2</t>
    </r>
  </si>
  <si>
    <r>
      <t>NEMA Premium</t>
    </r>
    <r>
      <rPr>
        <vertAlign val="superscript"/>
        <sz val="10"/>
        <color indexed="17"/>
        <rFont val="Arial"/>
        <family val="2"/>
      </rPr>
      <t>4</t>
    </r>
  </si>
  <si>
    <r>
      <t>Energy Efficient</t>
    </r>
    <r>
      <rPr>
        <vertAlign val="superscript"/>
        <sz val="10"/>
        <color indexed="10"/>
        <rFont val="Arial"/>
        <family val="2"/>
      </rPr>
      <t>3</t>
    </r>
  </si>
  <si>
    <t xml:space="preserve">1. Pre-Epact: DOE's MotorMaster+ software version 4.00.01 (9/26/2003) "Average Standard Efficiency" motor defaults </t>
  </si>
  <si>
    <r>
      <t>Size</t>
    </r>
    <r>
      <rPr>
        <b/>
        <vertAlign val="superscript"/>
        <sz val="9"/>
        <rFont val="Arial"/>
        <family val="2"/>
      </rPr>
      <t>2</t>
    </r>
    <r>
      <rPr>
        <b/>
        <sz val="9"/>
        <rFont val="Arial"/>
        <family val="2"/>
      </rPr>
      <t xml:space="preserve"> (hp)</t>
    </r>
  </si>
  <si>
    <t>1.  This chart provides an estimated comparison of annual energy costs for Pre-EPAct, EPAct and NEMA Prem motors. Actual costs and savings may differ from the values shown.</t>
  </si>
  <si>
    <t xml:space="preserve">2. The break in Motor Size between 200 and 250 hp occurs because EPAct applies to motors up to 200 hp. Above that value, NEMA's Energy Efficient Motor specification has been
used as the reference.  </t>
  </si>
  <si>
    <t>3. The nominal efficiency values used in these calculations are defined as follows: Pre-EPAct Motors: DOE's MotorMaster+ software version 4.00.01 (9/26/2003) "Average Standard Efficiency" motor defaults ; EPAct Motors: Energy Policy Act of 1992 ; Energy Efficient Motors: NEMA MG 1-2003 Table 12-11 ; NEMA Premium Motors: NEMA MG 1-2003 Table 12-12. 
A table of all efficiency values is provided as the second tab of this Excel Workbook, Estimated Annual Energy Savings Chart, available at www.motorsmatter.org.</t>
  </si>
  <si>
    <r>
      <t xml:space="preserve">      </t>
    </r>
    <r>
      <rPr>
        <b/>
        <sz val="14"/>
        <rFont val="Arial"/>
        <family val="2"/>
      </rPr>
      <t xml:space="preserve">    </t>
    </r>
    <r>
      <rPr>
        <b/>
        <u val="single"/>
        <sz val="14"/>
        <rFont val="Arial"/>
        <family val="2"/>
      </rPr>
      <t xml:space="preserve"> Estimated Annual Energy Savings with NEMA Premium</t>
    </r>
    <r>
      <rPr>
        <b/>
        <u val="single"/>
        <vertAlign val="superscript"/>
        <sz val="11"/>
        <rFont val="Arial"/>
        <family val="2"/>
      </rPr>
      <t>®</t>
    </r>
    <r>
      <rPr>
        <b/>
        <u val="single"/>
        <sz val="14"/>
        <rFont val="Arial"/>
        <family val="2"/>
      </rPr>
      <t xml:space="preserve"> Motors</t>
    </r>
    <r>
      <rPr>
        <b/>
        <u val="single"/>
        <vertAlign val="superscript"/>
        <sz val="14"/>
        <rFont val="Arial"/>
        <family val="2"/>
      </rPr>
      <t>1</t>
    </r>
    <r>
      <rPr>
        <b/>
        <u val="single"/>
        <sz val="12"/>
        <rFont val="Arial"/>
        <family val="2"/>
      </rPr>
      <t xml:space="preserve">
</t>
    </r>
    <r>
      <rPr>
        <b/>
        <sz val="18"/>
        <rFont val="Arial"/>
        <family val="2"/>
      </rPr>
      <t xml:space="preserve">       </t>
    </r>
    <r>
      <rPr>
        <b/>
        <i/>
        <sz val="12"/>
        <rFont val="Arial"/>
        <family val="2"/>
      </rPr>
      <t xml:space="preserve">TEFC    </t>
    </r>
    <r>
      <rPr>
        <b/>
        <sz val="12"/>
        <rFont val="Arial"/>
        <family val="2"/>
      </rPr>
      <t>·</t>
    </r>
    <r>
      <rPr>
        <b/>
        <i/>
        <sz val="12"/>
        <rFont val="Arial"/>
        <family val="2"/>
      </rPr>
      <t xml:space="preserve">    1800 RPM</t>
    </r>
    <r>
      <rPr>
        <b/>
        <sz val="12"/>
        <rFont val="Arial"/>
        <family val="2"/>
      </rPr>
      <t xml:space="preserve">    ·    </t>
    </r>
    <r>
      <rPr>
        <b/>
        <i/>
        <sz val="12"/>
        <rFont val="Arial"/>
        <family val="2"/>
      </rPr>
      <t>Full-load Operation    ·    Nominal Efficiency</t>
    </r>
    <r>
      <rPr>
        <b/>
        <i/>
        <vertAlign val="superscript"/>
        <sz val="12"/>
        <rFont val="Arial"/>
        <family val="2"/>
      </rPr>
      <t>3</t>
    </r>
    <r>
      <rPr>
        <b/>
        <i/>
        <sz val="12"/>
        <rFont val="Arial"/>
        <family val="2"/>
      </rPr>
      <t xml:space="preserve">                                 
</t>
    </r>
    <r>
      <rPr>
        <b/>
        <i/>
        <sz val="10"/>
        <rFont val="Arial"/>
        <family val="2"/>
      </rPr>
      <t>Estimated Annual Energy Cost = (Hp x annual operating hours x cost of electricity x 0.746) / (efficiency)</t>
    </r>
  </si>
  <si>
    <r>
      <t xml:space="preserve">      </t>
    </r>
    <r>
      <rPr>
        <b/>
        <sz val="14"/>
        <rFont val="Arial"/>
        <family val="2"/>
      </rPr>
      <t xml:space="preserve">    </t>
    </r>
    <r>
      <rPr>
        <b/>
        <u val="single"/>
        <sz val="14"/>
        <rFont val="Arial"/>
        <family val="2"/>
      </rPr>
      <t xml:space="preserve"> Efficiency Values Used to Estimate Annual Energy Savings</t>
    </r>
    <r>
      <rPr>
        <b/>
        <u val="single"/>
        <sz val="12"/>
        <rFont val="Arial"/>
        <family val="2"/>
      </rPr>
      <t xml:space="preserve">
</t>
    </r>
    <r>
      <rPr>
        <b/>
        <sz val="18"/>
        <rFont val="Arial"/>
        <family val="2"/>
      </rPr>
      <t xml:space="preserve">       </t>
    </r>
    <r>
      <rPr>
        <b/>
        <i/>
        <sz val="12"/>
        <rFont val="Arial"/>
        <family val="2"/>
      </rPr>
      <t xml:space="preserve">TEFC    </t>
    </r>
    <r>
      <rPr>
        <b/>
        <sz val="12"/>
        <rFont val="Arial"/>
        <family val="2"/>
      </rPr>
      <t>·</t>
    </r>
    <r>
      <rPr>
        <b/>
        <i/>
        <sz val="12"/>
        <rFont val="Arial"/>
        <family val="2"/>
      </rPr>
      <t xml:space="preserve">    1800 RPM</t>
    </r>
    <r>
      <rPr>
        <b/>
        <sz val="12"/>
        <rFont val="Arial"/>
        <family val="2"/>
      </rPr>
      <t xml:space="preserve">    ·    </t>
    </r>
    <r>
      <rPr>
        <b/>
        <i/>
        <sz val="12"/>
        <rFont val="Arial"/>
        <family val="2"/>
      </rPr>
      <t xml:space="preserve">Full-load Operation    ·    Nominal Efficiency                                
</t>
    </r>
    <r>
      <rPr>
        <b/>
        <i/>
        <sz val="10"/>
        <rFont val="Arial"/>
        <family val="2"/>
      </rPr>
      <t>Estimated Annual Energy Cost = (Hp x annual operating hours x cost of electricity x 0.746) / (efficiency)</t>
    </r>
  </si>
  <si>
    <r>
      <t xml:space="preserve">Learn more about saving money through sound motor management.
For additional tools and resources, visit </t>
    </r>
    <r>
      <rPr>
        <b/>
        <u val="single"/>
        <sz val="9"/>
        <color indexed="48"/>
        <rFont val="Arial"/>
        <family val="2"/>
      </rPr>
      <t>www.motorsmatter.org</t>
    </r>
    <r>
      <rPr>
        <b/>
        <sz val="9"/>
        <color indexed="48"/>
        <rFont val="Arial"/>
        <family val="2"/>
      </rPr>
      <t>.</t>
    </r>
  </si>
  <si>
    <r>
      <t xml:space="preserve">      </t>
    </r>
    <r>
      <rPr>
        <b/>
        <sz val="14"/>
        <rFont val="Arial"/>
        <family val="2"/>
      </rPr>
      <t xml:space="preserve">    </t>
    </r>
    <r>
      <rPr>
        <b/>
        <u val="single"/>
        <sz val="14"/>
        <rFont val="Arial"/>
        <family val="2"/>
      </rPr>
      <t xml:space="preserve"> Estimated Annual Energy Savings with NEMA Premium</t>
    </r>
    <r>
      <rPr>
        <b/>
        <u val="single"/>
        <vertAlign val="superscript"/>
        <sz val="11"/>
        <rFont val="Arial"/>
        <family val="2"/>
      </rPr>
      <t>®</t>
    </r>
    <r>
      <rPr>
        <b/>
        <u val="single"/>
        <sz val="14"/>
        <rFont val="Arial"/>
        <family val="2"/>
      </rPr>
      <t xml:space="preserve"> Motors</t>
    </r>
    <r>
      <rPr>
        <b/>
        <u val="single"/>
        <vertAlign val="superscript"/>
        <sz val="14"/>
        <rFont val="Arial"/>
        <family val="2"/>
      </rPr>
      <t>1</t>
    </r>
    <r>
      <rPr>
        <b/>
        <u val="single"/>
        <sz val="12"/>
        <rFont val="Arial"/>
        <family val="2"/>
      </rPr>
      <t xml:space="preserve">
</t>
    </r>
    <r>
      <rPr>
        <b/>
        <sz val="18"/>
        <rFont val="Arial"/>
        <family val="2"/>
      </rPr>
      <t xml:space="preserve">       ODP</t>
    </r>
    <r>
      <rPr>
        <b/>
        <i/>
        <sz val="12"/>
        <rFont val="Arial"/>
        <family val="2"/>
      </rPr>
      <t xml:space="preserve">    </t>
    </r>
    <r>
      <rPr>
        <b/>
        <sz val="12"/>
        <rFont val="Arial"/>
        <family val="2"/>
      </rPr>
      <t>·</t>
    </r>
    <r>
      <rPr>
        <b/>
        <i/>
        <sz val="12"/>
        <rFont val="Arial"/>
        <family val="2"/>
      </rPr>
      <t xml:space="preserve">    1800 RPM</t>
    </r>
    <r>
      <rPr>
        <b/>
        <sz val="12"/>
        <rFont val="Arial"/>
        <family val="2"/>
      </rPr>
      <t xml:space="preserve">    ·    </t>
    </r>
    <r>
      <rPr>
        <b/>
        <i/>
        <sz val="12"/>
        <rFont val="Arial"/>
        <family val="2"/>
      </rPr>
      <t>Full-load Operation    ·    Nominal Efficiency</t>
    </r>
    <r>
      <rPr>
        <b/>
        <i/>
        <vertAlign val="superscript"/>
        <sz val="12"/>
        <rFont val="Arial"/>
        <family val="2"/>
      </rPr>
      <t>3</t>
    </r>
    <r>
      <rPr>
        <b/>
        <i/>
        <sz val="12"/>
        <rFont val="Arial"/>
        <family val="2"/>
      </rPr>
      <t xml:space="preserve">                                 
</t>
    </r>
    <r>
      <rPr>
        <b/>
        <i/>
        <sz val="10"/>
        <rFont val="Arial"/>
        <family val="2"/>
      </rPr>
      <t>Estimated Annual Energy Cost = (Hp x annual operating hours x cost of electricity x 0.746) / (efficiency)</t>
    </r>
  </si>
  <si>
    <r>
      <t xml:space="preserve">      </t>
    </r>
    <r>
      <rPr>
        <b/>
        <sz val="14"/>
        <rFont val="Arial"/>
        <family val="2"/>
      </rPr>
      <t xml:space="preserve">    </t>
    </r>
    <r>
      <rPr>
        <b/>
        <u val="single"/>
        <sz val="14"/>
        <rFont val="Arial"/>
        <family val="2"/>
      </rPr>
      <t xml:space="preserve"> Efficiency Values Used to Estimate Annual Energy Savings</t>
    </r>
    <r>
      <rPr>
        <b/>
        <u val="single"/>
        <sz val="12"/>
        <rFont val="Arial"/>
        <family val="2"/>
      </rPr>
      <t xml:space="preserve">
</t>
    </r>
    <r>
      <rPr>
        <b/>
        <sz val="18"/>
        <rFont val="Arial"/>
        <family val="2"/>
      </rPr>
      <t xml:space="preserve">      </t>
    </r>
    <r>
      <rPr>
        <b/>
        <i/>
        <sz val="12"/>
        <rFont val="Arial"/>
        <family val="2"/>
      </rPr>
      <t xml:space="preserve"> ODP    </t>
    </r>
    <r>
      <rPr>
        <b/>
        <sz val="12"/>
        <rFont val="Arial"/>
        <family val="2"/>
      </rPr>
      <t>·</t>
    </r>
    <r>
      <rPr>
        <b/>
        <i/>
        <sz val="12"/>
        <rFont val="Arial"/>
        <family val="2"/>
      </rPr>
      <t xml:space="preserve">    1800 RPM</t>
    </r>
    <r>
      <rPr>
        <b/>
        <sz val="12"/>
        <rFont val="Arial"/>
        <family val="2"/>
      </rPr>
      <t xml:space="preserve">    ·    </t>
    </r>
    <r>
      <rPr>
        <b/>
        <i/>
        <sz val="12"/>
        <rFont val="Arial"/>
        <family val="2"/>
      </rPr>
      <t xml:space="preserve">Full-load Operation    ·    Nominal Efficiency                                
</t>
    </r>
    <r>
      <rPr>
        <b/>
        <i/>
        <sz val="10"/>
        <rFont val="Arial"/>
        <family val="2"/>
      </rPr>
      <t>Estimated Annual Energy Cost = (Hp x annual operating hours x cost of electricity x 0.746) / (efficiency)</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</si>
</sst>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quot;$&quot;#,##0.00"/>
    <numFmt numFmtId="167" formatCode="&quot;$&quot;#,##0"/>
    <numFmt numFmtId="168" formatCode="_(* #,##0.0_);_(* \(#,##0.0\);_(* &quot;-&quot;?_);_(@_)"/>
  </numFmts>
  <fonts count="37">
    <font>
      <sz val="10"/>
      <name val="Arial"/>
      <family val="0"/>
    </font>
    <font>
      <b/>
      <sz val="12"/>
      <name val="Arial"/>
      <family val="2"/>
    </font>
    <font>
      <sz val="8"/>
      <name val="Arial"/>
      <family val="0"/>
    </font>
    <font>
      <b/>
      <sz val="14"/>
      <name val="Arial"/>
      <family val="2"/>
    </font>
    <font>
      <sz val="9"/>
      <name val="Arial"/>
      <family val="2"/>
    </font>
    <font>
      <b/>
      <sz val="11"/>
      <name val="Arial"/>
      <family val="2"/>
    </font>
    <font>
      <b/>
      <u val="single"/>
      <sz val="18"/>
      <name val="Arial"/>
      <family val="2"/>
    </font>
    <font>
      <b/>
      <u val="single"/>
      <sz val="12"/>
      <name val="Arial"/>
      <family val="2"/>
    </font>
    <font>
      <b/>
      <i/>
      <sz val="12"/>
      <name val="Arial"/>
      <family val="2"/>
    </font>
    <font>
      <b/>
      <sz val="10"/>
      <name val="Arial"/>
      <family val="2"/>
    </font>
    <font>
      <b/>
      <sz val="18"/>
      <name val="Arial"/>
      <family val="2"/>
    </font>
    <font>
      <b/>
      <u val="single"/>
      <sz val="14"/>
      <name val="Arial"/>
      <family val="2"/>
    </font>
    <font>
      <b/>
      <u val="single"/>
      <vertAlign val="superscript"/>
      <sz val="11"/>
      <name val="Arial"/>
      <family val="2"/>
    </font>
    <font>
      <sz val="9"/>
      <name val="Times New Roman"/>
      <family val="1"/>
    </font>
    <font>
      <sz val="10"/>
      <color indexed="10"/>
      <name val="Arial"/>
      <family val="2"/>
    </font>
    <font>
      <sz val="10"/>
      <color indexed="10"/>
      <name val="Times New Roman"/>
      <family val="1"/>
    </font>
    <font>
      <sz val="10"/>
      <color indexed="17"/>
      <name val="Arial"/>
      <family val="2"/>
    </font>
    <font>
      <sz val="10"/>
      <color indexed="17"/>
      <name val="Times New Roman"/>
      <family val="1"/>
    </font>
    <font>
      <sz val="9"/>
      <color indexed="10"/>
      <name val="Times New Roman"/>
      <family val="1"/>
    </font>
    <font>
      <sz val="9"/>
      <color indexed="17"/>
      <name val="Times New Roman"/>
      <family val="1"/>
    </font>
    <font>
      <b/>
      <i/>
      <u val="single"/>
      <sz val="11"/>
      <name val="Arial"/>
      <family val="2"/>
    </font>
    <font>
      <b/>
      <i/>
      <u val="singleAccounting"/>
      <sz val="11"/>
      <name val="Arial"/>
      <family val="2"/>
    </font>
    <font>
      <b/>
      <i/>
      <sz val="10"/>
      <name val="Arial"/>
      <family val="2"/>
    </font>
    <font>
      <b/>
      <u val="single"/>
      <vertAlign val="superscript"/>
      <sz val="14"/>
      <name val="Arial"/>
      <family val="2"/>
    </font>
    <font>
      <sz val="10"/>
      <color indexed="12"/>
      <name val="Arial"/>
      <family val="2"/>
    </font>
    <font>
      <b/>
      <sz val="9"/>
      <name val="Arial"/>
      <family val="2"/>
    </font>
    <font>
      <b/>
      <i/>
      <vertAlign val="superscript"/>
      <sz val="12"/>
      <name val="Arial"/>
      <family val="2"/>
    </font>
    <font>
      <b/>
      <vertAlign val="superscript"/>
      <sz val="10"/>
      <name val="Arial"/>
      <family val="2"/>
    </font>
    <font>
      <vertAlign val="superscript"/>
      <sz val="10"/>
      <color indexed="12"/>
      <name val="Arial"/>
      <family val="2"/>
    </font>
    <font>
      <vertAlign val="superscript"/>
      <sz val="10"/>
      <color indexed="10"/>
      <name val="Arial"/>
      <family val="2"/>
    </font>
    <font>
      <vertAlign val="superscript"/>
      <sz val="10"/>
      <color indexed="17"/>
      <name val="Arial"/>
      <family val="2"/>
    </font>
    <font>
      <b/>
      <i/>
      <sz val="9"/>
      <name val="Arial"/>
      <family val="2"/>
    </font>
    <font>
      <b/>
      <vertAlign val="superscript"/>
      <sz val="9"/>
      <name val="Arial"/>
      <family val="2"/>
    </font>
    <font>
      <sz val="10"/>
      <color indexed="12"/>
      <name val="Times New Roman"/>
      <family val="1"/>
    </font>
    <font>
      <sz val="10"/>
      <name val="Times New Roman"/>
      <family val="1"/>
    </font>
    <font>
      <b/>
      <sz val="9"/>
      <color indexed="48"/>
      <name val="Arial"/>
      <family val="2"/>
    </font>
    <font>
      <b/>
      <u val="single"/>
      <sz val="9"/>
      <color indexed="48"/>
      <name val="Arial"/>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73">
    <border>
      <left/>
      <right/>
      <top/>
      <bottom/>
      <diagonal/>
    </border>
    <border>
      <left>
        <color indexed="63"/>
      </left>
      <right style="thin"/>
      <top>
        <color indexed="63"/>
      </top>
      <bottom>
        <color indexed="63"/>
      </bottom>
    </border>
    <border>
      <left>
        <color indexed="63"/>
      </left>
      <right style="medium"/>
      <top style="medium"/>
      <bottom style="thin"/>
    </border>
    <border>
      <left>
        <color indexed="63"/>
      </left>
      <right style="double"/>
      <top style="medium"/>
      <bottom style="thin"/>
    </border>
    <border>
      <left>
        <color indexed="63"/>
      </left>
      <right style="medium"/>
      <top style="thin"/>
      <bottom style="thin"/>
    </border>
    <border>
      <left>
        <color indexed="63"/>
      </left>
      <right style="double"/>
      <top style="thin"/>
      <bottom style="thin"/>
    </border>
    <border>
      <left>
        <color indexed="63"/>
      </left>
      <right style="medium"/>
      <top style="thin"/>
      <bottom style="double"/>
    </border>
    <border>
      <left>
        <color indexed="63"/>
      </left>
      <right>
        <color indexed="63"/>
      </right>
      <top>
        <color indexed="63"/>
      </top>
      <bottom style="double"/>
    </border>
    <border>
      <left>
        <color indexed="63"/>
      </left>
      <right style="double"/>
      <top>
        <color indexed="63"/>
      </top>
      <bottom>
        <color indexed="63"/>
      </bottom>
    </border>
    <border>
      <left style="double"/>
      <right style="double"/>
      <top>
        <color indexed="63"/>
      </top>
      <bottom>
        <color indexed="63"/>
      </bottom>
    </border>
    <border>
      <left>
        <color indexed="63"/>
      </left>
      <right style="double"/>
      <top style="double"/>
      <bottom style="medium"/>
    </border>
    <border>
      <left>
        <color indexed="63"/>
      </left>
      <right style="double"/>
      <top>
        <color indexed="63"/>
      </top>
      <bottom style="thin"/>
    </border>
    <border>
      <left>
        <color indexed="63"/>
      </left>
      <right style="double"/>
      <top>
        <color indexed="63"/>
      </top>
      <bottom style="double"/>
    </border>
    <border>
      <left>
        <color indexed="63"/>
      </left>
      <right>
        <color indexed="63"/>
      </right>
      <top style="medium"/>
      <bottom>
        <color indexed="63"/>
      </bottom>
    </border>
    <border>
      <left>
        <color indexed="63"/>
      </left>
      <right style="medium"/>
      <top>
        <color indexed="63"/>
      </top>
      <bottom style="thin"/>
    </border>
    <border>
      <left>
        <color indexed="63"/>
      </left>
      <right>
        <color indexed="63"/>
      </right>
      <top style="double"/>
      <bottom style="double"/>
    </border>
    <border>
      <left>
        <color indexed="63"/>
      </left>
      <right>
        <color indexed="63"/>
      </right>
      <top style="double"/>
      <bottom>
        <color indexed="63"/>
      </bottom>
    </border>
    <border>
      <left>
        <color indexed="63"/>
      </left>
      <right style="double"/>
      <top style="thin"/>
      <bottom style="double"/>
    </border>
    <border>
      <left style="medium"/>
      <right style="medium"/>
      <top style="medium"/>
      <bottom style="thin"/>
    </border>
    <border>
      <left style="medium"/>
      <right style="medium"/>
      <top style="thin"/>
      <bottom style="thin"/>
    </border>
    <border>
      <left style="medium"/>
      <right style="medium"/>
      <top style="thin"/>
      <bottom style="double"/>
    </border>
    <border>
      <left>
        <color indexed="63"/>
      </left>
      <right style="double"/>
      <top style="double"/>
      <bottom>
        <color indexed="63"/>
      </bottom>
    </border>
    <border>
      <left>
        <color indexed="63"/>
      </left>
      <right style="double"/>
      <top style="medium"/>
      <bottom style="medium"/>
    </border>
    <border>
      <left style="double"/>
      <right style="double"/>
      <top style="medium"/>
      <bottom style="thin"/>
    </border>
    <border>
      <left style="double"/>
      <right style="double"/>
      <top style="thin"/>
      <bottom style="thin"/>
    </border>
    <border>
      <left style="double"/>
      <right style="double"/>
      <top style="thin"/>
      <bottom style="double"/>
    </border>
    <border>
      <left style="double"/>
      <right style="double"/>
      <top>
        <color indexed="63"/>
      </top>
      <bottom style="thin"/>
    </border>
    <border>
      <left style="double"/>
      <right style="double"/>
      <top style="double"/>
      <bottom style="double"/>
    </border>
    <border>
      <left style="double"/>
      <right style="thin"/>
      <top style="medium"/>
      <bottom style="thin"/>
    </border>
    <border>
      <left style="double"/>
      <right style="thin"/>
      <top style="thin"/>
      <bottom style="thin"/>
    </border>
    <border>
      <left style="double"/>
      <right style="thin"/>
      <top style="thin"/>
      <bottom style="double"/>
    </border>
    <border>
      <left style="double"/>
      <right style="thin"/>
      <top>
        <color indexed="63"/>
      </top>
      <bottom style="double"/>
    </border>
    <border>
      <left style="double"/>
      <right style="thin"/>
      <top style="double"/>
      <bottom style="medium"/>
    </border>
    <border>
      <left style="double"/>
      <right>
        <color indexed="63"/>
      </right>
      <top style="double"/>
      <bottom style="medium"/>
    </border>
    <border>
      <left style="thin"/>
      <right style="double"/>
      <top style="double"/>
      <bottom style="medium"/>
    </border>
    <border>
      <left style="double"/>
      <right style="thin"/>
      <top style="medium"/>
      <bottom style="medium"/>
    </border>
    <border>
      <left>
        <color indexed="63"/>
      </left>
      <right>
        <color indexed="63"/>
      </right>
      <top style="medium"/>
      <bottom style="medium"/>
    </border>
    <border>
      <left style="thin"/>
      <right style="double"/>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style="medium"/>
      <top style="medium"/>
      <bottom style="thin"/>
    </border>
    <border>
      <left>
        <color indexed="63"/>
      </left>
      <right style="medium"/>
      <top>
        <color indexed="63"/>
      </top>
      <bottom>
        <color indexed="63"/>
      </bottom>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double"/>
      <right>
        <color indexed="63"/>
      </right>
      <top style="thin"/>
      <bottom style="thin"/>
    </border>
    <border>
      <left style="double"/>
      <right>
        <color indexed="63"/>
      </right>
      <top style="medium"/>
      <bottom style="thin"/>
    </border>
    <border>
      <left style="double"/>
      <right>
        <color indexed="63"/>
      </right>
      <top>
        <color indexed="63"/>
      </top>
      <bottom style="medium"/>
    </border>
    <border>
      <left>
        <color indexed="63"/>
      </left>
      <right style="double"/>
      <top>
        <color indexed="63"/>
      </top>
      <bottom style="medium"/>
    </border>
    <border>
      <left style="double"/>
      <right style="double"/>
      <top style="double"/>
      <bottom>
        <color indexed="63"/>
      </bottom>
    </border>
    <border>
      <left style="double"/>
      <right style="double"/>
      <top>
        <color indexed="63"/>
      </top>
      <bottom style="medium"/>
    </border>
    <border>
      <left style="double"/>
      <right>
        <color indexed="63"/>
      </right>
      <top style="medium"/>
      <bottom style="double"/>
    </border>
    <border>
      <left>
        <color indexed="63"/>
      </left>
      <right style="double"/>
      <top style="medium"/>
      <bottom style="double"/>
    </border>
    <border>
      <left style="double"/>
      <right>
        <color indexed="63"/>
      </right>
      <top style="thin"/>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thin"/>
    </border>
    <border>
      <left style="double"/>
      <right style="medium"/>
      <top style="double"/>
      <bottom>
        <color indexed="63"/>
      </bottom>
    </border>
    <border>
      <left style="double"/>
      <right style="medium"/>
      <top>
        <color indexed="63"/>
      </top>
      <bottom style="medium"/>
    </border>
    <border>
      <left style="double"/>
      <right style="medium"/>
      <top>
        <color indexed="63"/>
      </top>
      <bottom>
        <color indexed="63"/>
      </bottom>
    </border>
    <border>
      <left>
        <color indexed="63"/>
      </left>
      <right style="medium"/>
      <top style="double"/>
      <bottom>
        <color indexed="63"/>
      </bottom>
    </border>
    <border>
      <left>
        <color indexed="63"/>
      </left>
      <right style="medium"/>
      <top>
        <color indexed="63"/>
      </top>
      <bottom style="medium"/>
    </border>
    <border>
      <left>
        <color indexed="63"/>
      </left>
      <right>
        <color indexed="63"/>
      </right>
      <top style="thin"/>
      <bottom style="thin"/>
    </border>
    <border>
      <left style="medium"/>
      <right style="double"/>
      <top style="double"/>
      <bottom>
        <color indexed="63"/>
      </bottom>
    </border>
    <border>
      <left style="medium"/>
      <right style="double"/>
      <top>
        <color indexed="63"/>
      </top>
      <bottom style="medium"/>
    </border>
    <border>
      <left style="medium"/>
      <right style="medium"/>
      <top style="double"/>
      <bottom>
        <color indexed="63"/>
      </botto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0" fillId="0" borderId="0" xfId="0" applyFont="1" applyFill="1" applyBorder="1" applyAlignment="1">
      <alignment horizontal="center" vertical="center" wrapText="1"/>
    </xf>
    <xf numFmtId="164" fontId="13" fillId="0" borderId="1" xfId="0" applyNumberFormat="1" applyFont="1" applyBorder="1" applyAlignment="1">
      <alignment horizontal="center"/>
    </xf>
    <xf numFmtId="167" fontId="4" fillId="0" borderId="2" xfId="0" applyNumberFormat="1" applyFont="1" applyFill="1" applyBorder="1" applyAlignment="1" applyProtection="1">
      <alignment horizontal="center" vertical="center" wrapText="1"/>
      <protection/>
    </xf>
    <xf numFmtId="167" fontId="4" fillId="0" borderId="3" xfId="0" applyNumberFormat="1" applyFont="1" applyFill="1" applyBorder="1" applyAlignment="1" applyProtection="1">
      <alignment horizontal="center" vertical="center" wrapText="1"/>
      <protection/>
    </xf>
    <xf numFmtId="167" fontId="4" fillId="0" borderId="4" xfId="0" applyNumberFormat="1" applyFont="1" applyFill="1" applyBorder="1" applyAlignment="1" applyProtection="1">
      <alignment horizontal="center" vertical="center" wrapText="1"/>
      <protection/>
    </xf>
    <xf numFmtId="167" fontId="4" fillId="0" borderId="5" xfId="0" applyNumberFormat="1" applyFont="1" applyFill="1" applyBorder="1" applyAlignment="1" applyProtection="1">
      <alignment horizontal="center" vertical="center" wrapText="1"/>
      <protection/>
    </xf>
    <xf numFmtId="167" fontId="4" fillId="0" borderId="6"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0" fillId="0" borderId="7" xfId="0" applyFont="1" applyFill="1" applyBorder="1" applyAlignment="1" applyProtection="1">
      <alignment horizontal="center" vertical="center" wrapText="1"/>
      <protection/>
    </xf>
    <xf numFmtId="0" fontId="0" fillId="0" borderId="7" xfId="0" applyFont="1" applyFill="1" applyBorder="1" applyAlignment="1" applyProtection="1">
      <alignment vertical="center" wrapText="1"/>
      <protection/>
    </xf>
    <xf numFmtId="0" fontId="5" fillId="0" borderId="8"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1" fillId="0" borderId="8" xfId="0" applyFont="1" applyFill="1" applyBorder="1" applyAlignment="1" applyProtection="1">
      <alignment horizontal="center" vertical="center" wrapText="1"/>
      <protection/>
    </xf>
    <xf numFmtId="167" fontId="5" fillId="0" borderId="9" xfId="0" applyNumberFormat="1" applyFont="1" applyFill="1" applyBorder="1" applyAlignment="1" applyProtection="1">
      <alignment horizontal="center" vertical="center" wrapText="1"/>
      <protection/>
    </xf>
    <xf numFmtId="167" fontId="5" fillId="0" borderId="0" xfId="0" applyNumberFormat="1" applyFont="1" applyFill="1" applyBorder="1" applyAlignment="1" applyProtection="1">
      <alignment horizontal="center" vertical="center" wrapText="1"/>
      <protection/>
    </xf>
    <xf numFmtId="167" fontId="0" fillId="0" borderId="0" xfId="0" applyNumberFormat="1" applyFont="1" applyFill="1" applyBorder="1" applyAlignment="1" applyProtection="1">
      <alignment horizontal="center" vertical="center" wrapText="1"/>
      <protection/>
    </xf>
    <xf numFmtId="167" fontId="4" fillId="0" borderId="0"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4" fillId="2" borderId="10" xfId="0" applyFont="1" applyFill="1" applyBorder="1" applyAlignment="1" applyProtection="1">
      <alignment horizontal="center" vertical="center" wrapText="1"/>
      <protection/>
    </xf>
    <xf numFmtId="167" fontId="4" fillId="0" borderId="11" xfId="0" applyNumberFormat="1" applyFont="1" applyFill="1" applyBorder="1" applyAlignment="1" applyProtection="1">
      <alignment horizontal="center" vertical="center" wrapText="1"/>
      <protection/>
    </xf>
    <xf numFmtId="167" fontId="9" fillId="0" borderId="0" xfId="0" applyNumberFormat="1" applyFont="1" applyFill="1" applyBorder="1" applyAlignment="1" applyProtection="1">
      <alignment vertical="center" wrapText="1"/>
      <protection/>
    </xf>
    <xf numFmtId="167" fontId="1" fillId="0" borderId="0" xfId="0" applyNumberFormat="1" applyFont="1" applyFill="1" applyBorder="1" applyAlignment="1" applyProtection="1">
      <alignment horizontal="center" vertical="center" wrapText="1"/>
      <protection/>
    </xf>
    <xf numFmtId="167" fontId="4" fillId="0" borderId="12"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9" fillId="0" borderId="0" xfId="0" applyFont="1" applyFill="1" applyBorder="1" applyAlignment="1">
      <alignment vertical="center" wrapText="1"/>
    </xf>
    <xf numFmtId="0" fontId="9" fillId="0" borderId="13"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0" fontId="1" fillId="0" borderId="7" xfId="0" applyFont="1" applyFill="1" applyBorder="1" applyAlignment="1" applyProtection="1">
      <alignment vertical="center"/>
      <protection/>
    </xf>
    <xf numFmtId="0" fontId="0" fillId="0" borderId="8" xfId="0" applyFont="1" applyFill="1" applyBorder="1" applyAlignment="1" applyProtection="1">
      <alignment horizontal="center" vertical="center" wrapText="1"/>
      <protection/>
    </xf>
    <xf numFmtId="167" fontId="4" fillId="0" borderId="14" xfId="0" applyNumberFormat="1" applyFont="1" applyFill="1" applyBorder="1" applyAlignment="1" applyProtection="1">
      <alignment horizontal="center" vertical="center" wrapText="1"/>
      <protection/>
    </xf>
    <xf numFmtId="167" fontId="0" fillId="0" borderId="15"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wrapText="1"/>
      <protection/>
    </xf>
    <xf numFmtId="0" fontId="20" fillId="3" borderId="16" xfId="0" applyFont="1" applyFill="1" applyBorder="1" applyAlignment="1" applyProtection="1">
      <alignment vertical="center" wrapText="1"/>
      <protection locked="0"/>
    </xf>
    <xf numFmtId="37" fontId="21" fillId="3" borderId="7" xfId="17" applyNumberFormat="1" applyFont="1" applyFill="1" applyBorder="1" applyAlignment="1" applyProtection="1">
      <alignment vertical="center"/>
      <protection locked="0"/>
    </xf>
    <xf numFmtId="0" fontId="9" fillId="0" borderId="9" xfId="0" applyFont="1" applyFill="1" applyBorder="1" applyAlignment="1" applyProtection="1">
      <alignment/>
      <protection/>
    </xf>
    <xf numFmtId="0" fontId="9" fillId="0" borderId="9" xfId="0" applyFont="1" applyFill="1" applyBorder="1" applyAlignment="1" applyProtection="1">
      <alignment vertical="center" wrapText="1"/>
      <protection/>
    </xf>
    <xf numFmtId="164" fontId="19" fillId="0" borderId="3" xfId="0" applyNumberFormat="1" applyFont="1" applyBorder="1" applyAlignment="1">
      <alignment horizontal="center"/>
    </xf>
    <xf numFmtId="164" fontId="19" fillId="0" borderId="5" xfId="0" applyNumberFormat="1" applyFont="1" applyBorder="1" applyAlignment="1">
      <alignment horizontal="center"/>
    </xf>
    <xf numFmtId="164" fontId="17" fillId="0" borderId="11" xfId="0" applyNumberFormat="1" applyFont="1" applyBorder="1" applyAlignment="1">
      <alignment horizontal="center"/>
    </xf>
    <xf numFmtId="164" fontId="17" fillId="0" borderId="5" xfId="0" applyNumberFormat="1" applyFont="1" applyBorder="1" applyAlignment="1">
      <alignment horizontal="center"/>
    </xf>
    <xf numFmtId="164" fontId="17" fillId="0" borderId="17" xfId="0" applyNumberFormat="1" applyFont="1" applyBorder="1" applyAlignment="1">
      <alignment horizontal="center"/>
    </xf>
    <xf numFmtId="164" fontId="15" fillId="0" borderId="18" xfId="0" applyNumberFormat="1" applyFont="1" applyBorder="1" applyAlignment="1">
      <alignment horizontal="center"/>
    </xf>
    <xf numFmtId="164" fontId="15" fillId="0" borderId="19" xfId="0" applyNumberFormat="1" applyFont="1" applyBorder="1" applyAlignment="1">
      <alignment horizontal="center"/>
    </xf>
    <xf numFmtId="164" fontId="15" fillId="0" borderId="20" xfId="0" applyNumberFormat="1" applyFont="1" applyBorder="1" applyAlignment="1">
      <alignment horizontal="center"/>
    </xf>
    <xf numFmtId="164" fontId="19" fillId="0" borderId="17" xfId="0" applyNumberFormat="1" applyFont="1" applyBorder="1" applyAlignment="1">
      <alignment horizontal="center"/>
    </xf>
    <xf numFmtId="164" fontId="18" fillId="0" borderId="2" xfId="0" applyNumberFormat="1" applyFont="1" applyBorder="1" applyAlignment="1">
      <alignment horizontal="center"/>
    </xf>
    <xf numFmtId="164" fontId="18" fillId="0" borderId="4" xfId="0" applyNumberFormat="1" applyFont="1" applyBorder="1" applyAlignment="1">
      <alignment horizontal="center"/>
    </xf>
    <xf numFmtId="164" fontId="18" fillId="0" borderId="6" xfId="0" applyNumberFormat="1" applyFont="1" applyBorder="1" applyAlignment="1">
      <alignment horizontal="center"/>
    </xf>
    <xf numFmtId="0" fontId="20" fillId="3" borderId="16" xfId="0" applyFont="1" applyFill="1" applyBorder="1" applyAlignment="1" applyProtection="1">
      <alignment vertical="center" wrapText="1"/>
      <protection/>
    </xf>
    <xf numFmtId="37" fontId="21" fillId="3" borderId="7" xfId="17" applyNumberFormat="1" applyFont="1" applyFill="1" applyBorder="1" applyAlignment="1" applyProtection="1">
      <alignment vertical="center"/>
      <protection/>
    </xf>
    <xf numFmtId="0" fontId="0" fillId="0" borderId="0" xfId="0" applyBorder="1" applyAlignment="1" applyProtection="1">
      <alignment/>
      <protection/>
    </xf>
    <xf numFmtId="0" fontId="0" fillId="0" borderId="8" xfId="0" applyBorder="1" applyAlignment="1" applyProtection="1">
      <alignment/>
      <protection/>
    </xf>
    <xf numFmtId="0" fontId="0" fillId="0" borderId="0" xfId="0" applyAlignment="1" applyProtection="1">
      <alignment/>
      <protection/>
    </xf>
    <xf numFmtId="0" fontId="20" fillId="3" borderId="21" xfId="0" applyFont="1" applyFill="1" applyBorder="1" applyAlignment="1" applyProtection="1">
      <alignment vertical="center" wrapText="1"/>
      <protection/>
    </xf>
    <xf numFmtId="37" fontId="21" fillId="3" borderId="12" xfId="17" applyNumberFormat="1" applyFont="1" applyFill="1" applyBorder="1" applyAlignment="1" applyProtection="1">
      <alignment vertical="center"/>
      <protection/>
    </xf>
    <xf numFmtId="0" fontId="31" fillId="0" borderId="0" xfId="0" applyFont="1" applyFill="1" applyBorder="1" applyAlignment="1" applyProtection="1">
      <alignment wrapText="1"/>
      <protection/>
    </xf>
    <xf numFmtId="0" fontId="9" fillId="0" borderId="0" xfId="0" applyFont="1" applyFill="1" applyBorder="1" applyAlignment="1" applyProtection="1">
      <alignment horizontal="center" vertical="center" wrapText="1"/>
      <protection/>
    </xf>
    <xf numFmtId="167" fontId="9" fillId="0" borderId="0" xfId="0" applyNumberFormat="1" applyFont="1" applyFill="1" applyBorder="1" applyAlignment="1" applyProtection="1">
      <alignment horizontal="center" vertical="center" wrapText="1"/>
      <protection/>
    </xf>
    <xf numFmtId="0" fontId="25" fillId="2" borderId="22" xfId="0" applyFont="1" applyFill="1" applyBorder="1" applyAlignment="1" applyProtection="1">
      <alignment horizontal="center" vertical="center" wrapText="1"/>
      <protection/>
    </xf>
    <xf numFmtId="0" fontId="25" fillId="0" borderId="23" xfId="0" applyFont="1" applyFill="1" applyBorder="1" applyAlignment="1" applyProtection="1">
      <alignment horizontal="center" vertical="center" wrapText="1"/>
      <protection/>
    </xf>
    <xf numFmtId="0" fontId="25" fillId="0" borderId="24" xfId="0" applyFont="1" applyFill="1" applyBorder="1" applyAlignment="1" applyProtection="1">
      <alignment horizontal="center" vertical="center" wrapText="1"/>
      <protection/>
    </xf>
    <xf numFmtId="0" fontId="25" fillId="0" borderId="25" xfId="0" applyFont="1" applyFill="1" applyBorder="1" applyAlignment="1" applyProtection="1">
      <alignment horizontal="center" vertical="center" wrapText="1"/>
      <protection/>
    </xf>
    <xf numFmtId="0" fontId="25" fillId="0" borderId="26" xfId="0" applyFont="1" applyFill="1" applyBorder="1" applyAlignment="1" applyProtection="1">
      <alignment horizontal="center" vertical="center" wrapText="1"/>
      <protection/>
    </xf>
    <xf numFmtId="0" fontId="25" fillId="2" borderId="27" xfId="0" applyFont="1" applyFill="1" applyBorder="1" applyAlignment="1" applyProtection="1">
      <alignment horizontal="center" vertical="center" wrapText="1"/>
      <protection/>
    </xf>
    <xf numFmtId="167" fontId="4" fillId="0" borderId="28" xfId="0" applyNumberFormat="1" applyFont="1" applyFill="1" applyBorder="1" applyAlignment="1" applyProtection="1">
      <alignment horizontal="center" vertical="center" wrapText="1"/>
      <protection/>
    </xf>
    <xf numFmtId="167" fontId="4" fillId="0" borderId="29" xfId="0" applyNumberFormat="1" applyFont="1" applyFill="1" applyBorder="1" applyAlignment="1" applyProtection="1">
      <alignment horizontal="center" vertical="center" wrapText="1"/>
      <protection/>
    </xf>
    <xf numFmtId="167" fontId="4" fillId="0" borderId="30" xfId="0" applyNumberFormat="1" applyFont="1" applyFill="1" applyBorder="1" applyAlignment="1" applyProtection="1">
      <alignment horizontal="center" vertical="center" wrapText="1"/>
      <protection/>
    </xf>
    <xf numFmtId="167" fontId="4" fillId="0" borderId="17" xfId="0" applyNumberFormat="1" applyFont="1" applyFill="1" applyBorder="1" applyAlignment="1" applyProtection="1">
      <alignment horizontal="center" vertical="center" wrapText="1"/>
      <protection/>
    </xf>
    <xf numFmtId="167" fontId="4" fillId="0" borderId="31" xfId="0" applyNumberFormat="1" applyFont="1" applyFill="1" applyBorder="1" applyAlignment="1" applyProtection="1">
      <alignment horizontal="center" vertical="center" wrapText="1"/>
      <protection/>
    </xf>
    <xf numFmtId="0" fontId="4" fillId="2" borderId="32" xfId="0" applyFont="1" applyFill="1" applyBorder="1" applyAlignment="1" applyProtection="1">
      <alignment horizontal="center" vertical="center" wrapText="1"/>
      <protection/>
    </xf>
    <xf numFmtId="0" fontId="4" fillId="2" borderId="33" xfId="0" applyFont="1" applyFill="1" applyBorder="1" applyAlignment="1" applyProtection="1">
      <alignment horizontal="center" vertical="center" wrapText="1"/>
      <protection/>
    </xf>
    <xf numFmtId="0" fontId="4" fillId="2" borderId="34" xfId="0" applyFont="1" applyFill="1" applyBorder="1" applyAlignment="1" applyProtection="1">
      <alignment horizontal="center" vertical="center" wrapText="1"/>
      <protection/>
    </xf>
    <xf numFmtId="0" fontId="25" fillId="2" borderId="35" xfId="0" applyFont="1" applyFill="1" applyBorder="1" applyAlignment="1" applyProtection="1">
      <alignment horizontal="center" vertical="center" wrapText="1"/>
      <protection/>
    </xf>
    <xf numFmtId="0" fontId="25" fillId="2" borderId="36" xfId="0" applyFont="1" applyFill="1" applyBorder="1" applyAlignment="1" applyProtection="1">
      <alignment horizontal="center" vertical="center" wrapText="1"/>
      <protection/>
    </xf>
    <xf numFmtId="0" fontId="25" fillId="2" borderId="37" xfId="0" applyFont="1" applyFill="1" applyBorder="1" applyAlignment="1" applyProtection="1">
      <alignment horizontal="center" vertical="center" wrapText="1"/>
      <protection/>
    </xf>
    <xf numFmtId="164" fontId="33" fillId="0" borderId="19" xfId="0" applyNumberFormat="1" applyFont="1" applyBorder="1" applyAlignment="1">
      <alignment horizontal="center"/>
    </xf>
    <xf numFmtId="164" fontId="34" fillId="0" borderId="19" xfId="0" applyNumberFormat="1" applyFont="1" applyBorder="1" applyAlignment="1">
      <alignment horizontal="center"/>
    </xf>
    <xf numFmtId="0" fontId="2" fillId="0" borderId="0" xfId="0" applyFont="1" applyFill="1" applyBorder="1" applyAlignment="1" applyProtection="1">
      <alignment vertical="center" wrapText="1"/>
      <protection/>
    </xf>
    <xf numFmtId="0" fontId="0" fillId="0" borderId="0" xfId="0" applyFont="1" applyFill="1" applyBorder="1" applyAlignment="1" applyProtection="1">
      <alignment horizontal="right" vertical="center" wrapText="1"/>
      <protection/>
    </xf>
    <xf numFmtId="0" fontId="0" fillId="0" borderId="0" xfId="0" applyBorder="1" applyAlignment="1">
      <alignment/>
    </xf>
    <xf numFmtId="164" fontId="34" fillId="0" borderId="38" xfId="0" applyNumberFormat="1" applyFont="1" applyBorder="1" applyAlignment="1">
      <alignment horizontal="center"/>
    </xf>
    <xf numFmtId="164" fontId="33" fillId="0" borderId="39" xfId="0" applyNumberFormat="1" applyFont="1" applyBorder="1" applyAlignment="1">
      <alignment horizontal="center"/>
    </xf>
    <xf numFmtId="164" fontId="15" fillId="0" borderId="40" xfId="0" applyNumberFormat="1" applyFont="1" applyBorder="1" applyAlignment="1">
      <alignment horizontal="center"/>
    </xf>
    <xf numFmtId="164" fontId="17" fillId="0" borderId="41" xfId="0" applyNumberFormat="1" applyFont="1" applyBorder="1" applyAlignment="1">
      <alignment horizontal="center"/>
    </xf>
    <xf numFmtId="0" fontId="0" fillId="0" borderId="42" xfId="0" applyBorder="1" applyAlignment="1">
      <alignment/>
    </xf>
    <xf numFmtId="164" fontId="34" fillId="0" borderId="43" xfId="0" applyNumberFormat="1" applyFont="1" applyBorder="1" applyAlignment="1">
      <alignment horizontal="center"/>
    </xf>
    <xf numFmtId="164" fontId="33" fillId="0" borderId="44" xfId="0" applyNumberFormat="1" applyFont="1" applyBorder="1" applyAlignment="1">
      <alignment horizontal="center"/>
    </xf>
    <xf numFmtId="164" fontId="15" fillId="0" borderId="44" xfId="0" applyNumberFormat="1" applyFont="1" applyBorder="1" applyAlignment="1">
      <alignment horizontal="center"/>
    </xf>
    <xf numFmtId="164" fontId="17" fillId="0" borderId="45" xfId="0" applyNumberFormat="1" applyFont="1" applyBorder="1" applyAlignment="1">
      <alignment horizontal="center"/>
    </xf>
    <xf numFmtId="164" fontId="34" fillId="0" borderId="46" xfId="0" applyNumberFormat="1" applyFont="1" applyBorder="1" applyAlignment="1">
      <alignment horizontal="center"/>
    </xf>
    <xf numFmtId="164" fontId="33" fillId="0" borderId="47" xfId="0" applyNumberFormat="1" applyFont="1" applyBorder="1" applyAlignment="1">
      <alignment horizontal="center"/>
    </xf>
    <xf numFmtId="164" fontId="15" fillId="0" borderId="47" xfId="0" applyNumberFormat="1" applyFont="1" applyBorder="1" applyAlignment="1">
      <alignment horizontal="center"/>
    </xf>
    <xf numFmtId="164" fontId="17" fillId="0" borderId="48" xfId="0" applyNumberFormat="1" applyFont="1" applyBorder="1" applyAlignment="1">
      <alignment horizontal="center"/>
    </xf>
    <xf numFmtId="164" fontId="13" fillId="0" borderId="0" xfId="0" applyNumberFormat="1" applyFont="1" applyBorder="1" applyAlignment="1">
      <alignment horizontal="center"/>
    </xf>
    <xf numFmtId="164" fontId="15" fillId="0" borderId="39" xfId="0" applyNumberFormat="1" applyFont="1" applyFill="1" applyBorder="1" applyAlignment="1">
      <alignment horizontal="center"/>
    </xf>
    <xf numFmtId="164" fontId="34" fillId="0" borderId="49" xfId="0" applyNumberFormat="1" applyFont="1" applyBorder="1" applyAlignment="1">
      <alignment horizontal="center"/>
    </xf>
    <xf numFmtId="164" fontId="15" fillId="0" borderId="44" xfId="0" applyNumberFormat="1" applyFont="1" applyFill="1" applyBorder="1" applyAlignment="1">
      <alignment horizontal="center"/>
    </xf>
    <xf numFmtId="164" fontId="15" fillId="0" borderId="47" xfId="0" applyNumberFormat="1" applyFont="1" applyFill="1" applyBorder="1" applyAlignment="1">
      <alignment horizontal="center"/>
    </xf>
    <xf numFmtId="0" fontId="35" fillId="0" borderId="0" xfId="0" applyFont="1" applyFill="1" applyBorder="1" applyAlignment="1" applyProtection="1">
      <alignment horizontal="center" vertical="center" wrapText="1"/>
      <protection/>
    </xf>
    <xf numFmtId="0" fontId="0" fillId="0" borderId="0" xfId="0" applyAlignment="1">
      <alignment/>
    </xf>
    <xf numFmtId="0" fontId="0" fillId="0" borderId="7" xfId="0" applyBorder="1" applyAlignment="1">
      <alignment/>
    </xf>
    <xf numFmtId="167" fontId="9" fillId="0" borderId="50" xfId="0" applyNumberFormat="1" applyFont="1" applyFill="1" applyBorder="1" applyAlignment="1" applyProtection="1">
      <alignment horizontal="center" vertical="center" wrapText="1"/>
      <protection/>
    </xf>
    <xf numFmtId="167" fontId="9" fillId="0" borderId="5" xfId="0" applyNumberFormat="1" applyFont="1" applyFill="1" applyBorder="1" applyAlignment="1" applyProtection="1">
      <alignment horizontal="center" vertical="center" wrapText="1"/>
      <protection/>
    </xf>
    <xf numFmtId="167" fontId="9" fillId="0" borderId="51" xfId="0" applyNumberFormat="1" applyFont="1" applyFill="1" applyBorder="1" applyAlignment="1" applyProtection="1">
      <alignment horizontal="center" vertical="center" wrapText="1"/>
      <protection/>
    </xf>
    <xf numFmtId="167" fontId="9" fillId="0" borderId="3" xfId="0" applyNumberFormat="1" applyFont="1" applyFill="1" applyBorder="1" applyAlignment="1" applyProtection="1">
      <alignment horizontal="center" vertical="center" wrapText="1"/>
      <protection/>
    </xf>
    <xf numFmtId="0" fontId="9" fillId="2" borderId="33" xfId="0" applyFont="1" applyFill="1" applyBorder="1" applyAlignment="1" applyProtection="1">
      <alignment horizontal="center" vertical="center" wrapText="1"/>
      <protection/>
    </xf>
    <xf numFmtId="0" fontId="9" fillId="2" borderId="10" xfId="0" applyFont="1" applyFill="1" applyBorder="1" applyAlignment="1" applyProtection="1">
      <alignment horizontal="center" vertical="center" wrapText="1"/>
      <protection/>
    </xf>
    <xf numFmtId="0" fontId="25" fillId="2" borderId="52" xfId="0" applyFont="1" applyFill="1" applyBorder="1" applyAlignment="1" applyProtection="1">
      <alignment horizontal="center" vertical="center" wrapText="1"/>
      <protection/>
    </xf>
    <xf numFmtId="0" fontId="9" fillId="2" borderId="53" xfId="0" applyFont="1" applyFill="1" applyBorder="1" applyAlignment="1" applyProtection="1">
      <alignment horizontal="center" vertical="center"/>
      <protection/>
    </xf>
    <xf numFmtId="0" fontId="9" fillId="2" borderId="54" xfId="0" applyFont="1" applyFill="1" applyBorder="1" applyAlignment="1" applyProtection="1">
      <alignment horizontal="center" vertical="center" wrapText="1"/>
      <protection/>
    </xf>
    <xf numFmtId="0" fontId="9" fillId="2" borderId="55" xfId="0" applyFont="1" applyFill="1" applyBorder="1" applyAlignment="1" applyProtection="1">
      <alignment horizontal="center" vertical="center" wrapText="1"/>
      <protection/>
    </xf>
    <xf numFmtId="167" fontId="9" fillId="0" borderId="56" xfId="0" applyNumberFormat="1" applyFont="1" applyFill="1" applyBorder="1" applyAlignment="1" applyProtection="1">
      <alignment horizontal="center" vertical="center" wrapText="1"/>
      <protection/>
    </xf>
    <xf numFmtId="167" fontId="9" fillId="0" borderId="57" xfId="0" applyNumberFormat="1" applyFont="1" applyFill="1" applyBorder="1" applyAlignment="1" applyProtection="1">
      <alignment horizontal="center" vertical="center" wrapText="1"/>
      <protection/>
    </xf>
    <xf numFmtId="0" fontId="25" fillId="2" borderId="33" xfId="0" applyFont="1" applyFill="1" applyBorder="1" applyAlignment="1" applyProtection="1">
      <alignment horizontal="center" vertical="center" wrapText="1"/>
      <protection/>
    </xf>
    <xf numFmtId="167" fontId="9" fillId="0" borderId="58" xfId="0" applyNumberFormat="1" applyFont="1" applyFill="1" applyBorder="1" applyAlignment="1" applyProtection="1">
      <alignment horizontal="center" vertical="center" wrapText="1"/>
      <protection/>
    </xf>
    <xf numFmtId="167" fontId="9" fillId="0" borderId="17" xfId="0" applyNumberFormat="1" applyFont="1" applyFill="1" applyBorder="1" applyAlignment="1" applyProtection="1">
      <alignment horizontal="center" vertical="center" wrapText="1"/>
      <protection/>
    </xf>
    <xf numFmtId="0" fontId="1" fillId="2" borderId="59" xfId="0" applyFont="1" applyFill="1" applyBorder="1" applyAlignment="1" applyProtection="1">
      <alignment horizontal="center" vertical="center" wrapText="1"/>
      <protection/>
    </xf>
    <xf numFmtId="0" fontId="1" fillId="2" borderId="16" xfId="0" applyFont="1" applyFill="1" applyBorder="1" applyAlignment="1" applyProtection="1">
      <alignment horizontal="center" vertical="center" wrapText="1"/>
      <protection/>
    </xf>
    <xf numFmtId="0" fontId="1" fillId="2" borderId="21" xfId="0" applyFont="1" applyFill="1" applyBorder="1" applyAlignment="1" applyProtection="1">
      <alignment horizontal="center" vertical="center" wrapText="1"/>
      <protection/>
    </xf>
    <xf numFmtId="0" fontId="1" fillId="2" borderId="60" xfId="0" applyFont="1" applyFill="1" applyBorder="1" applyAlignment="1" applyProtection="1">
      <alignment horizontal="center" vertical="center" wrapText="1"/>
      <protection/>
    </xf>
    <xf numFmtId="0" fontId="1" fillId="2" borderId="0" xfId="0" applyFont="1" applyFill="1" applyBorder="1" applyAlignment="1" applyProtection="1">
      <alignment horizontal="center" vertical="center" wrapText="1"/>
      <protection/>
    </xf>
    <xf numFmtId="0" fontId="1" fillId="2" borderId="8" xfId="0" applyFont="1" applyFill="1" applyBorder="1" applyAlignment="1" applyProtection="1">
      <alignment horizontal="center" vertical="center" wrapText="1"/>
      <protection/>
    </xf>
    <xf numFmtId="0" fontId="1" fillId="2" borderId="61" xfId="0" applyFont="1" applyFill="1" applyBorder="1" applyAlignment="1" applyProtection="1">
      <alignment horizontal="center" vertical="center" wrapText="1"/>
      <protection/>
    </xf>
    <xf numFmtId="0" fontId="1" fillId="2" borderId="7" xfId="0" applyFont="1" applyFill="1" applyBorder="1" applyAlignment="1" applyProtection="1">
      <alignment horizontal="center" vertical="center" wrapText="1"/>
      <protection/>
    </xf>
    <xf numFmtId="0" fontId="1" fillId="2" borderId="12" xfId="0" applyFont="1" applyFill="1" applyBorder="1" applyAlignment="1" applyProtection="1">
      <alignment horizontal="center" vertical="center" wrapText="1"/>
      <protection/>
    </xf>
    <xf numFmtId="0" fontId="31" fillId="0" borderId="62" xfId="0" applyFont="1" applyFill="1" applyBorder="1" applyAlignment="1" applyProtection="1">
      <alignment horizontal="left" wrapText="1"/>
      <protection/>
    </xf>
    <xf numFmtId="0" fontId="31" fillId="0" borderId="0" xfId="0" applyFont="1" applyFill="1" applyBorder="1" applyAlignment="1" applyProtection="1">
      <alignment horizontal="left" wrapText="1"/>
      <protection/>
    </xf>
    <xf numFmtId="0" fontId="0" fillId="0" borderId="0" xfId="0" applyBorder="1" applyAlignment="1">
      <alignment/>
    </xf>
    <xf numFmtId="0" fontId="9" fillId="2" borderId="16" xfId="0" applyFont="1" applyFill="1" applyBorder="1" applyAlignment="1" applyProtection="1">
      <alignment horizontal="center" vertical="center" wrapText="1"/>
      <protection/>
    </xf>
    <xf numFmtId="0" fontId="9" fillId="2" borderId="21" xfId="0" applyFont="1" applyFill="1" applyBorder="1" applyAlignment="1" applyProtection="1">
      <alignment horizontal="center" vertical="center" wrapText="1"/>
      <protection/>
    </xf>
    <xf numFmtId="0" fontId="9" fillId="2" borderId="7" xfId="0" applyFont="1" applyFill="1" applyBorder="1" applyAlignment="1" applyProtection="1">
      <alignment horizontal="center" vertical="center" wrapText="1"/>
      <protection/>
    </xf>
    <xf numFmtId="0" fontId="9" fillId="2" borderId="12" xfId="0" applyFont="1" applyFill="1" applyBorder="1" applyAlignment="1" applyProtection="1">
      <alignment horizontal="center" vertical="center" wrapText="1"/>
      <protection/>
    </xf>
    <xf numFmtId="0" fontId="9" fillId="2" borderId="59" xfId="0" applyFont="1" applyFill="1" applyBorder="1" applyAlignment="1" applyProtection="1">
      <alignment horizontal="right" vertical="center"/>
      <protection/>
    </xf>
    <xf numFmtId="0" fontId="9" fillId="2" borderId="16" xfId="0" applyFont="1" applyFill="1" applyBorder="1" applyAlignment="1" applyProtection="1">
      <alignment horizontal="right" vertical="center"/>
      <protection/>
    </xf>
    <xf numFmtId="0" fontId="9" fillId="2" borderId="61" xfId="0" applyFont="1" applyFill="1" applyBorder="1" applyAlignment="1" applyProtection="1">
      <alignment horizontal="right" vertical="center" wrapText="1"/>
      <protection/>
    </xf>
    <xf numFmtId="0" fontId="9" fillId="2" borderId="7" xfId="0" applyFont="1" applyFill="1" applyBorder="1" applyAlignment="1" applyProtection="1">
      <alignment horizontal="right" vertical="center" wrapText="1"/>
      <protection/>
    </xf>
    <xf numFmtId="0" fontId="24" fillId="0" borderId="63"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4" fillId="0" borderId="65"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68" xfId="0" applyFont="1" applyFill="1" applyBorder="1" applyAlignment="1">
      <alignment horizontal="left" wrapText="1"/>
    </xf>
    <xf numFmtId="0" fontId="16" fillId="0" borderId="62" xfId="0" applyFont="1" applyFill="1" applyBorder="1" applyAlignment="1">
      <alignment horizontal="left" wrapText="1"/>
    </xf>
    <xf numFmtId="0" fontId="16" fillId="0" borderId="69" xfId="0" applyFont="1" applyFill="1" applyBorder="1" applyAlignment="1">
      <alignment horizontal="center" vertical="center" wrapText="1"/>
    </xf>
    <xf numFmtId="0" fontId="16" fillId="0" borderId="7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24" fillId="0" borderId="68" xfId="0" applyFont="1" applyFill="1" applyBorder="1" applyAlignment="1">
      <alignment horizontal="left" wrapText="1"/>
    </xf>
    <xf numFmtId="0" fontId="9" fillId="0" borderId="9"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71" xfId="0" applyFont="1" applyFill="1" applyBorder="1" applyAlignment="1">
      <alignment horizontal="center" vertical="center" wrapText="1"/>
    </xf>
    <xf numFmtId="0" fontId="14" fillId="0" borderId="72" xfId="0" applyFont="1" applyFill="1" applyBorder="1" applyAlignment="1">
      <alignment horizontal="center" vertical="center" wrapText="1"/>
    </xf>
    <xf numFmtId="0" fontId="16" fillId="0" borderId="68" xfId="0"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600075</xdr:colOff>
      <xdr:row>6</xdr:row>
      <xdr:rowOff>171450</xdr:rowOff>
    </xdr:to>
    <xdr:pic>
      <xdr:nvPicPr>
        <xdr:cNvPr id="1" name="Picture 3"/>
        <xdr:cNvPicPr preferRelativeResize="1">
          <a:picLocks noChangeAspect="1"/>
        </xdr:cNvPicPr>
      </xdr:nvPicPr>
      <xdr:blipFill>
        <a:blip r:embed="rId1"/>
        <a:stretch>
          <a:fillRect/>
        </a:stretch>
      </xdr:blipFill>
      <xdr:spPr>
        <a:xfrm>
          <a:off x="0" y="0"/>
          <a:ext cx="1228725" cy="1524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419100</xdr:colOff>
      <xdr:row>32</xdr:row>
      <xdr:rowOff>47625</xdr:rowOff>
    </xdr:from>
    <xdr:to>
      <xdr:col>11</xdr:col>
      <xdr:colOff>47625</xdr:colOff>
      <xdr:row>39</xdr:row>
      <xdr:rowOff>200025</xdr:rowOff>
    </xdr:to>
    <xdr:pic>
      <xdr:nvPicPr>
        <xdr:cNvPr id="1" name="Picture 3"/>
        <xdr:cNvPicPr preferRelativeResize="1">
          <a:picLocks noChangeAspect="1"/>
        </xdr:cNvPicPr>
      </xdr:nvPicPr>
      <xdr:blipFill>
        <a:blip r:embed="rId1"/>
        <a:stretch>
          <a:fillRect/>
        </a:stretch>
      </xdr:blipFill>
      <xdr:spPr>
        <a:xfrm>
          <a:off x="5715000" y="5619750"/>
          <a:ext cx="1228725" cy="1524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600075</xdr:colOff>
      <xdr:row>6</xdr:row>
      <xdr:rowOff>171450</xdr:rowOff>
    </xdr:to>
    <xdr:pic>
      <xdr:nvPicPr>
        <xdr:cNvPr id="1" name="Picture 1"/>
        <xdr:cNvPicPr preferRelativeResize="1">
          <a:picLocks noChangeAspect="1"/>
        </xdr:cNvPicPr>
      </xdr:nvPicPr>
      <xdr:blipFill>
        <a:blip r:embed="rId1"/>
        <a:stretch>
          <a:fillRect/>
        </a:stretch>
      </xdr:blipFill>
      <xdr:spPr>
        <a:xfrm>
          <a:off x="0" y="0"/>
          <a:ext cx="1228725" cy="1524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266700</xdr:colOff>
      <xdr:row>31</xdr:row>
      <xdr:rowOff>47625</xdr:rowOff>
    </xdr:from>
    <xdr:to>
      <xdr:col>10</xdr:col>
      <xdr:colOff>857250</xdr:colOff>
      <xdr:row>40</xdr:row>
      <xdr:rowOff>66675</xdr:rowOff>
    </xdr:to>
    <xdr:pic>
      <xdr:nvPicPr>
        <xdr:cNvPr id="1" name="Picture 1"/>
        <xdr:cNvPicPr preferRelativeResize="1">
          <a:picLocks noChangeAspect="1"/>
        </xdr:cNvPicPr>
      </xdr:nvPicPr>
      <xdr:blipFill>
        <a:blip r:embed="rId1"/>
        <a:stretch>
          <a:fillRect/>
        </a:stretch>
      </xdr:blipFill>
      <xdr:spPr>
        <a:xfrm>
          <a:off x="5753100" y="5524500"/>
          <a:ext cx="1200150"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R47"/>
  <sheetViews>
    <sheetView tabSelected="1" workbookViewId="0" topLeftCell="E1">
      <selection activeCell="R9" sqref="R9"/>
    </sheetView>
  </sheetViews>
  <sheetFormatPr defaultColWidth="9.140625" defaultRowHeight="12.75"/>
  <cols>
    <col min="1" max="1" width="6.7109375" style="8" customWidth="1"/>
    <col min="2" max="2" width="2.7109375" style="8" customWidth="1"/>
    <col min="3" max="4" width="13.7109375" style="8" customWidth="1"/>
    <col min="5" max="6" width="8.7109375" style="8" customWidth="1"/>
    <col min="7" max="7" width="1.7109375" style="8" customWidth="1"/>
    <col min="8" max="9" width="13.7109375" style="8" customWidth="1"/>
    <col min="10" max="11" width="8.7109375" style="8" customWidth="1"/>
    <col min="12" max="12" width="1.7109375" style="8" customWidth="1"/>
    <col min="13" max="14" width="13.7109375" style="8" customWidth="1"/>
    <col min="15" max="16" width="8.7109375" style="8" customWidth="1"/>
    <col min="17" max="16384" width="9.140625" style="8" customWidth="1"/>
  </cols>
  <sheetData>
    <row r="1" spans="2:16" ht="24" customHeight="1" thickTop="1">
      <c r="B1" s="58"/>
      <c r="C1" s="59"/>
      <c r="D1" s="124" t="s">
        <v>32</v>
      </c>
      <c r="E1" s="125"/>
      <c r="F1" s="125"/>
      <c r="G1" s="125"/>
      <c r="H1" s="125"/>
      <c r="I1" s="125"/>
      <c r="J1" s="125"/>
      <c r="K1" s="125"/>
      <c r="L1" s="125"/>
      <c r="M1" s="125"/>
      <c r="N1" s="126"/>
      <c r="P1" s="85"/>
    </row>
    <row r="2" spans="1:16" ht="24" customHeight="1">
      <c r="A2" s="58"/>
      <c r="B2" s="60"/>
      <c r="C2" s="60"/>
      <c r="D2" s="127"/>
      <c r="E2" s="128"/>
      <c r="F2" s="128"/>
      <c r="G2" s="128"/>
      <c r="H2" s="128"/>
      <c r="I2" s="128"/>
      <c r="J2" s="128"/>
      <c r="K2" s="128"/>
      <c r="L2" s="128"/>
      <c r="M2" s="128"/>
      <c r="N2" s="129"/>
      <c r="O2" s="85"/>
      <c r="P2" s="85"/>
    </row>
    <row r="3" spans="1:16" ht="24" customHeight="1" thickBot="1">
      <c r="A3" s="58"/>
      <c r="B3" s="58"/>
      <c r="C3" s="58"/>
      <c r="D3" s="130"/>
      <c r="E3" s="131"/>
      <c r="F3" s="131"/>
      <c r="G3" s="131"/>
      <c r="H3" s="131"/>
      <c r="I3" s="131"/>
      <c r="J3" s="131"/>
      <c r="K3" s="131"/>
      <c r="L3" s="131"/>
      <c r="M3" s="131"/>
      <c r="N3" s="132"/>
      <c r="P3" s="85"/>
    </row>
    <row r="4" spans="1:16" ht="7.5" customHeight="1" thickTop="1">
      <c r="A4" s="9"/>
      <c r="B4" s="9"/>
      <c r="C4" s="9"/>
      <c r="D4" s="9"/>
      <c r="E4" s="9"/>
      <c r="F4" s="9"/>
      <c r="G4" s="9"/>
      <c r="H4" s="9"/>
      <c r="I4" s="9"/>
      <c r="J4" s="9"/>
      <c r="K4" s="9"/>
      <c r="N4" s="106" t="s">
        <v>34</v>
      </c>
      <c r="O4" s="107"/>
      <c r="P4" s="107"/>
    </row>
    <row r="5" spans="4:16" ht="7.5" customHeight="1" thickBot="1">
      <c r="D5" s="26"/>
      <c r="E5" s="26"/>
      <c r="F5" s="26"/>
      <c r="G5" s="26"/>
      <c r="H5" s="26"/>
      <c r="I5" s="26"/>
      <c r="J5" s="31"/>
      <c r="K5" s="30"/>
      <c r="N5" s="107"/>
      <c r="O5" s="107"/>
      <c r="P5" s="107"/>
    </row>
    <row r="6" spans="3:18" ht="19.5" customHeight="1" thickTop="1">
      <c r="C6" s="33"/>
      <c r="D6" s="136" t="s">
        <v>16</v>
      </c>
      <c r="E6" s="136"/>
      <c r="F6" s="137"/>
      <c r="G6" s="42"/>
      <c r="H6" s="140" t="s">
        <v>17</v>
      </c>
      <c r="I6" s="141"/>
      <c r="J6" s="141"/>
      <c r="K6" s="40">
        <v>8000</v>
      </c>
      <c r="L6" s="56"/>
      <c r="M6" s="61" t="s">
        <v>18</v>
      </c>
      <c r="N6" s="107"/>
      <c r="O6" s="107"/>
      <c r="P6" s="107"/>
      <c r="R6" s="86"/>
    </row>
    <row r="7" spans="3:16" ht="19.5" customHeight="1" thickBot="1">
      <c r="C7" s="33"/>
      <c r="D7" s="138"/>
      <c r="E7" s="138"/>
      <c r="F7" s="139"/>
      <c r="G7" s="43"/>
      <c r="H7" s="142" t="s">
        <v>19</v>
      </c>
      <c r="I7" s="143"/>
      <c r="J7" s="143"/>
      <c r="K7" s="41">
        <v>10</v>
      </c>
      <c r="L7" s="57"/>
      <c r="M7" s="62" t="s">
        <v>8</v>
      </c>
      <c r="N7" s="107"/>
      <c r="O7" s="107"/>
      <c r="P7" s="107"/>
    </row>
    <row r="8" spans="1:16" ht="7.5" customHeight="1" thickBot="1" thickTop="1">
      <c r="A8" s="10"/>
      <c r="D8" s="10"/>
      <c r="E8" s="10"/>
      <c r="F8" s="10"/>
      <c r="H8" s="10"/>
      <c r="I8" s="10"/>
      <c r="J8" s="11"/>
      <c r="K8" s="32"/>
      <c r="N8" s="108"/>
      <c r="O8" s="108"/>
      <c r="P8" s="108"/>
    </row>
    <row r="9" spans="1:16" ht="30" customHeight="1" thickBot="1" thickTop="1">
      <c r="A9" s="117" t="s">
        <v>15</v>
      </c>
      <c r="B9" s="19"/>
      <c r="C9" s="113" t="s">
        <v>1</v>
      </c>
      <c r="D9" s="114"/>
      <c r="E9" s="113" t="s">
        <v>2</v>
      </c>
      <c r="F9" s="114"/>
      <c r="G9" s="13"/>
      <c r="H9" s="113" t="s">
        <v>1</v>
      </c>
      <c r="I9" s="114"/>
      <c r="J9" s="113" t="s">
        <v>2</v>
      </c>
      <c r="K9" s="114"/>
      <c r="M9" s="113" t="s">
        <v>1</v>
      </c>
      <c r="N9" s="114"/>
      <c r="O9" s="113" t="s">
        <v>2</v>
      </c>
      <c r="P9" s="114"/>
    </row>
    <row r="10" spans="1:16" ht="24.75" customHeight="1" thickBot="1">
      <c r="A10" s="118"/>
      <c r="B10" s="19"/>
      <c r="C10" s="81" t="s">
        <v>9</v>
      </c>
      <c r="D10" s="82" t="s">
        <v>10</v>
      </c>
      <c r="E10" s="115" t="s">
        <v>5</v>
      </c>
      <c r="F10" s="116"/>
      <c r="G10" s="13"/>
      <c r="H10" s="81" t="s">
        <v>10</v>
      </c>
      <c r="I10" s="82" t="s">
        <v>11</v>
      </c>
      <c r="J10" s="115" t="s">
        <v>3</v>
      </c>
      <c r="K10" s="116"/>
      <c r="L10" s="33"/>
      <c r="M10" s="80" t="s">
        <v>12</v>
      </c>
      <c r="N10" s="66" t="s">
        <v>11</v>
      </c>
      <c r="O10" s="115" t="s">
        <v>4</v>
      </c>
      <c r="P10" s="116"/>
    </row>
    <row r="11" spans="1:16" ht="12.75" customHeight="1" thickBot="1">
      <c r="A11" s="67">
        <v>1</v>
      </c>
      <c r="B11" s="14"/>
      <c r="C11" s="72">
        <f>($A$11*0.746*$K$6*($K$7/100))/(76.7/100)</f>
        <v>778.0964797913952</v>
      </c>
      <c r="D11" s="3">
        <f>($A$11*0.746*$K$6*($K$7/100))/(82.5/100)</f>
        <v>723.3939393939395</v>
      </c>
      <c r="E11" s="111">
        <f>C11-D11</f>
        <v>54.702540397455664</v>
      </c>
      <c r="F11" s="112"/>
      <c r="G11" s="15"/>
      <c r="H11" s="72">
        <f>($A11*0.746*$K$6*($K$7/100))/(82.5/100)</f>
        <v>723.3939393939395</v>
      </c>
      <c r="I11" s="4">
        <f>($A11*0.746*$K$6*($K$7/100))/(85.5/100)</f>
        <v>698.0116959064328</v>
      </c>
      <c r="J11" s="111">
        <f aca="true" t="shared" si="0" ref="J11:J29">H11-I11</f>
        <v>25.382243487506685</v>
      </c>
      <c r="K11" s="112"/>
      <c r="L11" s="33"/>
      <c r="M11" s="72">
        <f>($A$11*0.746*$K$6*($K$7/100))/(76.7/100)</f>
        <v>778.0964797913952</v>
      </c>
      <c r="N11" s="4">
        <f>($A11*0.746*$K$6*($K$7/100))/(85.5/100)</f>
        <v>698.0116959064328</v>
      </c>
      <c r="O11" s="111">
        <f>M11-N11</f>
        <v>80.08478388496235</v>
      </c>
      <c r="P11" s="112"/>
    </row>
    <row r="12" spans="1:16" ht="12.75" customHeight="1" thickBot="1">
      <c r="A12" s="68">
        <v>1.5</v>
      </c>
      <c r="B12" s="14"/>
      <c r="C12" s="73">
        <f>($A12*0.746*$K$6*($K$7/100))/(79.1/100)</f>
        <v>1131.73198482933</v>
      </c>
      <c r="D12" s="5">
        <f>($A12*0.746*$K$6*($K$7/100))/(84/100)</f>
        <v>1065.7142857142858</v>
      </c>
      <c r="E12" s="111">
        <f aca="true" t="shared" si="1" ref="E12:E29">C12-D12</f>
        <v>66.01769911504425</v>
      </c>
      <c r="F12" s="112"/>
      <c r="G12" s="15"/>
      <c r="H12" s="73">
        <f>($A12*0.746*$K$6*($K$7/100))/(84/100)</f>
        <v>1065.7142857142858</v>
      </c>
      <c r="I12" s="6">
        <f>($A12*0.746*$K$6*($K$7/100))/(86.5/100)</f>
        <v>1034.913294797688</v>
      </c>
      <c r="J12" s="109">
        <f t="shared" si="0"/>
        <v>30.80099091659781</v>
      </c>
      <c r="K12" s="110"/>
      <c r="L12" s="33"/>
      <c r="M12" s="73">
        <f>($A12*0.746*$K$6*($K$7/100))/(79.1/100)</f>
        <v>1131.73198482933</v>
      </c>
      <c r="N12" s="6">
        <f>($A12*0.746*$K$6*($K$7/100))/(86.5/100)</f>
        <v>1034.913294797688</v>
      </c>
      <c r="O12" s="109">
        <f>M12-N12</f>
        <v>96.81869003164206</v>
      </c>
      <c r="P12" s="110"/>
    </row>
    <row r="13" spans="1:16" ht="12.75" customHeight="1" thickBot="1">
      <c r="A13" s="68">
        <v>2</v>
      </c>
      <c r="B13" s="14"/>
      <c r="C13" s="73">
        <f>($A13*0.746*$K$6*($K$7/100))/(80.8/100)</f>
        <v>1477.2277227722775</v>
      </c>
      <c r="D13" s="5">
        <f>($A13*0.746*$K$6*($K$7/100))/(84/100)</f>
        <v>1420.9523809523812</v>
      </c>
      <c r="E13" s="111">
        <f t="shared" si="1"/>
        <v>56.27534181989631</v>
      </c>
      <c r="F13" s="112"/>
      <c r="G13" s="15"/>
      <c r="H13" s="73">
        <f>($A13*0.746*$K$6*($K$7/100))/(84/100)</f>
        <v>1420.9523809523812</v>
      </c>
      <c r="I13" s="6">
        <f>($A13*0.746*$K$6*($K$7/100))/(86.5/100)</f>
        <v>1379.884393063584</v>
      </c>
      <c r="J13" s="109">
        <f t="shared" si="0"/>
        <v>41.067987888797234</v>
      </c>
      <c r="K13" s="110"/>
      <c r="L13" s="33"/>
      <c r="M13" s="73">
        <f>($A13*0.746*$K$6*($K$7/100))/(80.8/100)</f>
        <v>1477.2277227722775</v>
      </c>
      <c r="N13" s="6">
        <f>($A13*0.746*$K$6*($K$7/100))/(86.5/100)</f>
        <v>1379.884393063584</v>
      </c>
      <c r="O13" s="109">
        <f>M13-N13</f>
        <v>97.34332970869355</v>
      </c>
      <c r="P13" s="110"/>
    </row>
    <row r="14" spans="1:16" ht="12.75" customHeight="1" thickBot="1">
      <c r="A14" s="68">
        <v>3</v>
      </c>
      <c r="B14" s="14"/>
      <c r="C14" s="73">
        <f>($A14*0.746*$K$6*($K$7/100))/(81.4/100)</f>
        <v>2199.5085995085997</v>
      </c>
      <c r="D14" s="5">
        <f>($A14*0.746*$K$6*($K$7/100))/(87.5/100)</f>
        <v>2046.1714285714286</v>
      </c>
      <c r="E14" s="111">
        <f t="shared" si="1"/>
        <v>153.3371709371711</v>
      </c>
      <c r="F14" s="112"/>
      <c r="G14" s="15"/>
      <c r="H14" s="73">
        <f>($A14*0.746*$K$6*($K$7/100))/(87.5/100)</f>
        <v>2046.1714285714286</v>
      </c>
      <c r="I14" s="6">
        <f>($A14*0.746*$K$6*($K$7/100))/(89.5/100)</f>
        <v>2000.4469273743018</v>
      </c>
      <c r="J14" s="109">
        <f t="shared" si="0"/>
        <v>45.724501197126756</v>
      </c>
      <c r="K14" s="110"/>
      <c r="L14" s="33"/>
      <c r="M14" s="73">
        <f>($A14*0.746*$K$6*($K$7/100))/(81.4/100)</f>
        <v>2199.5085995085997</v>
      </c>
      <c r="N14" s="6">
        <f>($A14*0.746*$K$6*($K$7/100))/(89.5/100)</f>
        <v>2000.4469273743018</v>
      </c>
      <c r="O14" s="109">
        <f aca="true" t="shared" si="2" ref="O14:O29">M14-N14</f>
        <v>199.06167213429785</v>
      </c>
      <c r="P14" s="110"/>
    </row>
    <row r="15" spans="1:16" ht="12.75" customHeight="1" thickBot="1">
      <c r="A15" s="68">
        <v>5</v>
      </c>
      <c r="B15" s="14"/>
      <c r="C15" s="73">
        <f>($A15*0.746*$K$6*($K$7/100))/(83.3/100)</f>
        <v>3582.232893157263</v>
      </c>
      <c r="D15" s="5">
        <f>($A15*0.746*$K$6*($K$7/100))/(87.5/100)</f>
        <v>3410.285714285714</v>
      </c>
      <c r="E15" s="111">
        <f t="shared" si="1"/>
        <v>171.94717887154866</v>
      </c>
      <c r="F15" s="112"/>
      <c r="G15" s="15"/>
      <c r="H15" s="73">
        <f>($A15*0.746*$K$6*($K$7/100))/(87.5/100)</f>
        <v>3410.285714285714</v>
      </c>
      <c r="I15" s="6">
        <f>($A15*0.746*$K$6*($K$7/100))/(89.5/100)</f>
        <v>3334.0782122905025</v>
      </c>
      <c r="J15" s="109">
        <f t="shared" si="0"/>
        <v>76.20750199521171</v>
      </c>
      <c r="K15" s="110"/>
      <c r="L15" s="33"/>
      <c r="M15" s="73">
        <f>($A15*0.746*$K$6*($K$7/100))/(83.3/100)</f>
        <v>3582.232893157263</v>
      </c>
      <c r="N15" s="6">
        <f>($A15*0.746*$K$6*($K$7/100))/(89.5/100)</f>
        <v>3334.0782122905025</v>
      </c>
      <c r="O15" s="109">
        <f t="shared" si="2"/>
        <v>248.15468086676037</v>
      </c>
      <c r="P15" s="110"/>
    </row>
    <row r="16" spans="1:16" ht="12.75" customHeight="1" thickBot="1">
      <c r="A16" s="68">
        <v>7.5</v>
      </c>
      <c r="B16" s="14"/>
      <c r="C16" s="73">
        <f>($A16*0.746*$K$6*($K$7/100))/(85.5/100)</f>
        <v>5235.087719298246</v>
      </c>
      <c r="D16" s="5">
        <f>($A16*0.746*$K$6*($K$7/100))/(89.5/100)</f>
        <v>5001.117318435754</v>
      </c>
      <c r="E16" s="111">
        <f t="shared" si="1"/>
        <v>233.97040086249217</v>
      </c>
      <c r="F16" s="112"/>
      <c r="G16" s="15"/>
      <c r="H16" s="73">
        <f>($A16*0.746*$K$6*($K$7/100))/(89.5/100)</f>
        <v>5001.117318435754</v>
      </c>
      <c r="I16" s="6">
        <f>($A16*0.746*$K$6*($K$7/100))/(91.7/100)</f>
        <v>4881.134133042529</v>
      </c>
      <c r="J16" s="109">
        <f t="shared" si="0"/>
        <v>119.98318539322463</v>
      </c>
      <c r="K16" s="110"/>
      <c r="L16" s="33"/>
      <c r="M16" s="73">
        <f>($A16*0.746*$K$6*($K$7/100))/(85.5/100)</f>
        <v>5235.087719298246</v>
      </c>
      <c r="N16" s="6">
        <f>($A16*0.746*$K$6*($K$7/100))/(91.7/100)</f>
        <v>4881.134133042529</v>
      </c>
      <c r="O16" s="109">
        <f t="shared" si="2"/>
        <v>353.9535862557168</v>
      </c>
      <c r="P16" s="110"/>
    </row>
    <row r="17" spans="1:16" ht="12.75" customHeight="1" thickBot="1">
      <c r="A17" s="68">
        <v>10</v>
      </c>
      <c r="B17" s="14"/>
      <c r="C17" s="73">
        <f>($A17*0.746*$K$6*($K$7/100))/(85.7/100)</f>
        <v>6963.8273045507585</v>
      </c>
      <c r="D17" s="5">
        <f>($A17*0.746*$K$6*($K$7/100))/(89.5/100)</f>
        <v>6668.156424581005</v>
      </c>
      <c r="E17" s="111">
        <f t="shared" si="1"/>
        <v>295.6708799697535</v>
      </c>
      <c r="F17" s="112"/>
      <c r="G17" s="15"/>
      <c r="H17" s="73">
        <f>($A17*0.746*$K$6*($K$7/100))/(89.5/100)</f>
        <v>6668.156424581005</v>
      </c>
      <c r="I17" s="6">
        <f>($A17*0.746*$K$6*($K$7/100))/(91.7/100)</f>
        <v>6508.178844056706</v>
      </c>
      <c r="J17" s="109">
        <f t="shared" si="0"/>
        <v>159.9775805242989</v>
      </c>
      <c r="K17" s="110"/>
      <c r="L17" s="33"/>
      <c r="M17" s="73">
        <f>($A17*0.746*$K$6*($K$7/100))/(85.7/100)</f>
        <v>6963.8273045507585</v>
      </c>
      <c r="N17" s="6">
        <f>($A17*0.746*$K$6*($K$7/100))/(91.7/100)</f>
        <v>6508.178844056706</v>
      </c>
      <c r="O17" s="109">
        <f t="shared" si="2"/>
        <v>455.6484604940524</v>
      </c>
      <c r="P17" s="110"/>
    </row>
    <row r="18" spans="1:16" ht="12.75" customHeight="1" thickBot="1">
      <c r="A18" s="68">
        <v>15</v>
      </c>
      <c r="B18" s="14"/>
      <c r="C18" s="73">
        <f>($A18*0.746*$K$6*($K$7/100))/(86.6/100)</f>
        <v>10337.182448036952</v>
      </c>
      <c r="D18" s="5">
        <f>($A18*0.746*$K$6*($K$7/100))/(91/100)</f>
        <v>9837.362637362638</v>
      </c>
      <c r="E18" s="111">
        <f t="shared" si="1"/>
        <v>499.8198106743148</v>
      </c>
      <c r="F18" s="112"/>
      <c r="G18" s="15"/>
      <c r="H18" s="73">
        <f>($A18*0.746*$K$6*($K$7/100))/(91/100)</f>
        <v>9837.362637362638</v>
      </c>
      <c r="I18" s="6">
        <f>($A18*0.746*$K$6*($K$7/100))/(92.4/100)</f>
        <v>9688.311688311687</v>
      </c>
      <c r="J18" s="109">
        <f t="shared" si="0"/>
        <v>149.0509490509503</v>
      </c>
      <c r="K18" s="110"/>
      <c r="L18" s="33"/>
      <c r="M18" s="73">
        <f>($A18*0.746*$K$6*($K$7/100))/(86.6/100)</f>
        <v>10337.182448036952</v>
      </c>
      <c r="N18" s="6">
        <f>($A18*0.746*$K$6*($K$7/100))/(92.4/100)</f>
        <v>9688.311688311687</v>
      </c>
      <c r="O18" s="109">
        <f t="shared" si="2"/>
        <v>648.8707597252651</v>
      </c>
      <c r="P18" s="110"/>
    </row>
    <row r="19" spans="1:16" ht="12.75" customHeight="1" thickBot="1">
      <c r="A19" s="68">
        <v>20</v>
      </c>
      <c r="B19" s="14"/>
      <c r="C19" s="73">
        <f>($A19*0.746*$K$6*($K$7/100))/(88.5/100)</f>
        <v>13487.005649717514</v>
      </c>
      <c r="D19" s="5">
        <f>($A19*0.746*$K$6*($K$7/100))/(91/100)</f>
        <v>13116.483516483517</v>
      </c>
      <c r="E19" s="111">
        <f t="shared" si="1"/>
        <v>370.522133233997</v>
      </c>
      <c r="F19" s="112"/>
      <c r="G19" s="15"/>
      <c r="H19" s="73">
        <f>($A19*0.746*$K$6*($K$7/100))/(91/100)</f>
        <v>13116.483516483517</v>
      </c>
      <c r="I19" s="6">
        <f>($A19*0.746*$K$6*($K$7/100))/(93/100)</f>
        <v>12834.408602150537</v>
      </c>
      <c r="J19" s="109">
        <f t="shared" si="0"/>
        <v>282.07491433297946</v>
      </c>
      <c r="K19" s="110"/>
      <c r="L19" s="33"/>
      <c r="M19" s="73">
        <f>($A19*0.746*$K$6*($K$7/100))/(88.5/100)</f>
        <v>13487.005649717514</v>
      </c>
      <c r="N19" s="6">
        <f>($A19*0.746*$K$6*($K$7/100))/(93/100)</f>
        <v>12834.408602150537</v>
      </c>
      <c r="O19" s="109">
        <f t="shared" si="2"/>
        <v>652.5970475669765</v>
      </c>
      <c r="P19" s="110"/>
    </row>
    <row r="20" spans="1:16" ht="12.75" customHeight="1" thickBot="1">
      <c r="A20" s="68">
        <v>25</v>
      </c>
      <c r="B20" s="14"/>
      <c r="C20" s="73">
        <f>($A20*0.746*$K$6*($K$7/100))/(89.3/100)</f>
        <v>16707.726763717805</v>
      </c>
      <c r="D20" s="5">
        <f>($A20*0.746*$K$6*($K$7/100))/(92.4/100)</f>
        <v>16147.186147186147</v>
      </c>
      <c r="E20" s="111">
        <f t="shared" si="1"/>
        <v>560.5406165316581</v>
      </c>
      <c r="F20" s="112"/>
      <c r="G20" s="15"/>
      <c r="H20" s="73">
        <f>($A20*0.746*$K$6*($K$7/100))/(92.4/100)</f>
        <v>16147.186147186147</v>
      </c>
      <c r="I20" s="6">
        <f>($A20*0.746*$K$6*($K$7/100))/(93.6/100)</f>
        <v>15940.170940170941</v>
      </c>
      <c r="J20" s="109">
        <f t="shared" si="0"/>
        <v>207.0152070152053</v>
      </c>
      <c r="K20" s="110"/>
      <c r="L20" s="33"/>
      <c r="M20" s="73">
        <f>($A20*0.746*$K$6*($K$7/100))/(89.3/100)</f>
        <v>16707.726763717805</v>
      </c>
      <c r="N20" s="6">
        <f>($A20*0.746*$K$6*($K$7/100))/(93.6/100)</f>
        <v>15940.170940170941</v>
      </c>
      <c r="O20" s="109">
        <f t="shared" si="2"/>
        <v>767.5558235468634</v>
      </c>
      <c r="P20" s="110"/>
    </row>
    <row r="21" spans="1:16" ht="12.75" customHeight="1" thickBot="1">
      <c r="A21" s="68">
        <v>30</v>
      </c>
      <c r="B21" s="14"/>
      <c r="C21" s="73">
        <f>($A21*0.746*$K$6*($K$7/100))/(89.6/100)</f>
        <v>19982.14285714286</v>
      </c>
      <c r="D21" s="5">
        <f>($A21*0.746*$K$6*($K$7/100))/(92.4/100)</f>
        <v>19376.623376623374</v>
      </c>
      <c r="E21" s="111">
        <f t="shared" si="1"/>
        <v>605.5194805194842</v>
      </c>
      <c r="F21" s="112"/>
      <c r="G21" s="15"/>
      <c r="H21" s="73">
        <f>($A21*0.746*$K$6*($K$7/100))/(92.4/100)</f>
        <v>19376.623376623374</v>
      </c>
      <c r="I21" s="6">
        <f>($A21*0.746*$K$6*($K$7/100))/(93.6/100)</f>
        <v>19128.20512820513</v>
      </c>
      <c r="J21" s="109">
        <f t="shared" si="0"/>
        <v>248.41824841824564</v>
      </c>
      <c r="K21" s="110"/>
      <c r="L21" s="33"/>
      <c r="M21" s="73">
        <f>($A21*0.746*$K$6*($K$7/100))/(89.6/100)</f>
        <v>19982.14285714286</v>
      </c>
      <c r="N21" s="6">
        <f>($A21*0.746*$K$6*($K$7/100))/(93.6/100)</f>
        <v>19128.20512820513</v>
      </c>
      <c r="O21" s="109">
        <f t="shared" si="2"/>
        <v>853.9377289377298</v>
      </c>
      <c r="P21" s="110"/>
    </row>
    <row r="22" spans="1:16" ht="12.75" customHeight="1" thickBot="1">
      <c r="A22" s="68">
        <v>40</v>
      </c>
      <c r="B22" s="14"/>
      <c r="C22" s="73">
        <f>($A22*0.746*$K$6*($K$7/100))/(90.2/100)</f>
        <v>26465.63192904656</v>
      </c>
      <c r="D22" s="5">
        <f>($A22*0.746*$K$6*($K$7/100))/(93/100)</f>
        <v>25668.817204301075</v>
      </c>
      <c r="E22" s="111">
        <f t="shared" si="1"/>
        <v>796.8147247454872</v>
      </c>
      <c r="F22" s="112"/>
      <c r="G22" s="15"/>
      <c r="H22" s="73">
        <f>($A22*0.746*$K$6*($K$7/100))/(93/100)</f>
        <v>25668.817204301075</v>
      </c>
      <c r="I22" s="6">
        <f>($A22*0.746*$K$6*($K$7/100))/(94.1/100)</f>
        <v>25368.756641870354</v>
      </c>
      <c r="J22" s="109">
        <f t="shared" si="0"/>
        <v>300.0605624307209</v>
      </c>
      <c r="K22" s="110"/>
      <c r="L22" s="33"/>
      <c r="M22" s="73">
        <f>($A22*0.746*$K$6*($K$7/100))/(90.2/100)</f>
        <v>26465.63192904656</v>
      </c>
      <c r="N22" s="6">
        <f>($A22*0.746*$K$6*($K$7/100))/(94.1/100)</f>
        <v>25368.756641870354</v>
      </c>
      <c r="O22" s="109">
        <f t="shared" si="2"/>
        <v>1096.875287176208</v>
      </c>
      <c r="P22" s="110"/>
    </row>
    <row r="23" spans="1:16" ht="12.75" customHeight="1" thickBot="1">
      <c r="A23" s="68">
        <v>50</v>
      </c>
      <c r="B23" s="14"/>
      <c r="C23" s="73">
        <f>($A23*0.746*$K$6*($K$7/100))/(91.3/100)</f>
        <v>32683.46111719606</v>
      </c>
      <c r="D23" s="5">
        <f>($A23*0.746*$K$6*($K$7/100))/(93/100)</f>
        <v>32086.021505376342</v>
      </c>
      <c r="E23" s="111">
        <f t="shared" si="1"/>
        <v>597.4396118197183</v>
      </c>
      <c r="F23" s="112"/>
      <c r="G23" s="15"/>
      <c r="H23" s="73">
        <f>($A23*0.746*$K$6*($K$7/100))/(93/100)</f>
        <v>32086.021505376342</v>
      </c>
      <c r="I23" s="6">
        <f>($A23*0.746*$K$6*($K$7/100))/(94.5/100)</f>
        <v>31576.719576719577</v>
      </c>
      <c r="J23" s="109">
        <f t="shared" si="0"/>
        <v>509.3019286567651</v>
      </c>
      <c r="K23" s="110"/>
      <c r="L23" s="33"/>
      <c r="M23" s="73">
        <f>($A23*0.746*$K$6*($K$7/100))/(91.3/100)</f>
        <v>32683.46111719606</v>
      </c>
      <c r="N23" s="6">
        <f>($A23*0.746*$K$6*($K$7/100))/(94.5/100)</f>
        <v>31576.719576719577</v>
      </c>
      <c r="O23" s="109">
        <f t="shared" si="2"/>
        <v>1106.7415404764834</v>
      </c>
      <c r="P23" s="110"/>
    </row>
    <row r="24" spans="1:16" ht="12.75" customHeight="1" thickBot="1">
      <c r="A24" s="68">
        <v>60</v>
      </c>
      <c r="B24" s="14"/>
      <c r="C24" s="73">
        <f>($A24*0.746*$K$6*($K$7/100))/(91.8/100)</f>
        <v>39006.53594771242</v>
      </c>
      <c r="D24" s="5">
        <f>($A24*0.746*$K$6*($K$7/100))/(93.6/100)</f>
        <v>38256.41025641026</v>
      </c>
      <c r="E24" s="111">
        <f t="shared" si="1"/>
        <v>750.1256913021643</v>
      </c>
      <c r="F24" s="112"/>
      <c r="G24" s="15"/>
      <c r="H24" s="73">
        <f>($A24*0.746*$K$6*($K$7/100))/(93.6/100)</f>
        <v>38256.41025641026</v>
      </c>
      <c r="I24" s="6">
        <f>($A24*0.746*$K$6*($K$7/100))/(95/100)</f>
        <v>37692.631578947374</v>
      </c>
      <c r="J24" s="109">
        <f t="shared" si="0"/>
        <v>563.7786774628839</v>
      </c>
      <c r="K24" s="110"/>
      <c r="L24" s="33"/>
      <c r="M24" s="73">
        <f>($A24*0.746*$K$6*($K$7/100))/(91.8/100)</f>
        <v>39006.53594771242</v>
      </c>
      <c r="N24" s="6">
        <f>($A24*0.746*$K$6*($K$7/100))/(95/100)</f>
        <v>37692.631578947374</v>
      </c>
      <c r="O24" s="109">
        <f t="shared" si="2"/>
        <v>1313.9043687650483</v>
      </c>
      <c r="P24" s="110"/>
    </row>
    <row r="25" spans="1:16" ht="12.75" customHeight="1" thickBot="1">
      <c r="A25" s="68">
        <v>75</v>
      </c>
      <c r="B25" s="14"/>
      <c r="C25" s="73">
        <f>($A25*0.746*$K$6*($K$7/100))/(91.7/100)</f>
        <v>48811.3413304253</v>
      </c>
      <c r="D25" s="5">
        <f>($A25*0.746*$K$6*($K$7/100))/(94.1/100)</f>
        <v>47566.41870350691</v>
      </c>
      <c r="E25" s="111">
        <f t="shared" si="1"/>
        <v>1244.9226269183855</v>
      </c>
      <c r="F25" s="112"/>
      <c r="G25" s="15"/>
      <c r="H25" s="73">
        <f>($A25*0.746*$K$6*($K$7/100))/(94.1/100)</f>
        <v>47566.41870350691</v>
      </c>
      <c r="I25" s="6">
        <f>($A25*0.746*$K$6*($K$7/100))/(95.4/100)</f>
        <v>46918.238993710685</v>
      </c>
      <c r="J25" s="109">
        <f t="shared" si="0"/>
        <v>648.1797097962262</v>
      </c>
      <c r="K25" s="110"/>
      <c r="L25" s="33"/>
      <c r="M25" s="73">
        <f>($A25*0.746*$K$6*($K$7/100))/(91.7/100)</f>
        <v>48811.3413304253</v>
      </c>
      <c r="N25" s="6">
        <f>($A25*0.746*$K$6*($K$7/100))/(95.4/100)</f>
        <v>46918.238993710685</v>
      </c>
      <c r="O25" s="109">
        <f t="shared" si="2"/>
        <v>1893.1023367146117</v>
      </c>
      <c r="P25" s="110"/>
    </row>
    <row r="26" spans="1:16" ht="12.75" customHeight="1" thickBot="1">
      <c r="A26" s="68">
        <v>100</v>
      </c>
      <c r="B26" s="14"/>
      <c r="C26" s="73">
        <f>($A26*0.746*$K$6*($K$7/100))/(92.3/100)</f>
        <v>64658.72156013001</v>
      </c>
      <c r="D26" s="5">
        <f>($A26*0.746*$K$6*($K$7/100))/(94.5/100)</f>
        <v>63153.439153439154</v>
      </c>
      <c r="E26" s="111">
        <f t="shared" si="1"/>
        <v>1505.282406690858</v>
      </c>
      <c r="F26" s="112"/>
      <c r="G26" s="15"/>
      <c r="H26" s="73">
        <f>($A26*0.746*$K$6*($K$7/100))/(94.5/100)</f>
        <v>63153.439153439154</v>
      </c>
      <c r="I26" s="6">
        <f>($A26*0.746*$K$6*($K$7/100))/(95.4/100)</f>
        <v>62557.65199161425</v>
      </c>
      <c r="J26" s="109">
        <f t="shared" si="0"/>
        <v>595.7871618249046</v>
      </c>
      <c r="K26" s="110"/>
      <c r="L26" s="33"/>
      <c r="M26" s="73">
        <f>($A26*0.746*$K$6*($K$7/100))/(92.3/100)</f>
        <v>64658.72156013001</v>
      </c>
      <c r="N26" s="6">
        <f>($A26*0.746*$K$6*($K$7/100))/(95.4/100)</f>
        <v>62557.65199161425</v>
      </c>
      <c r="O26" s="109">
        <f t="shared" si="2"/>
        <v>2101.0695685157625</v>
      </c>
      <c r="P26" s="110"/>
    </row>
    <row r="27" spans="1:16" ht="12.75" customHeight="1" thickBot="1">
      <c r="A27" s="68">
        <v>125</v>
      </c>
      <c r="B27" s="14"/>
      <c r="C27" s="73">
        <f>($A27*0.746*$K$6*($K$7/100))/(92.2/100)</f>
        <v>80911.0629067245</v>
      </c>
      <c r="D27" s="5">
        <f>($A27*0.746*$K$6*($K$7/100))/(94.5/100)</f>
        <v>78941.79894179894</v>
      </c>
      <c r="E27" s="111">
        <f t="shared" si="1"/>
        <v>1969.263964925558</v>
      </c>
      <c r="F27" s="112"/>
      <c r="G27" s="15"/>
      <c r="H27" s="73">
        <f>($A27*0.746*$K$6*($K$7/100))/(94.5/100)</f>
        <v>78941.79894179894</v>
      </c>
      <c r="I27" s="6">
        <f>($A27*0.746*$K$6*($K$7/100))/(95.4/100)</f>
        <v>78197.06498951782</v>
      </c>
      <c r="J27" s="109">
        <f t="shared" si="0"/>
        <v>744.7339522811235</v>
      </c>
      <c r="K27" s="110"/>
      <c r="L27" s="33"/>
      <c r="M27" s="73">
        <f>($A27*0.746*$K$6*($K$7/100))/(92.2/100)</f>
        <v>80911.0629067245</v>
      </c>
      <c r="N27" s="6">
        <f>($A27*0.746*$K$6*($K$7/100))/(95.4/100)</f>
        <v>78197.06498951782</v>
      </c>
      <c r="O27" s="109">
        <f t="shared" si="2"/>
        <v>2713.9979172066814</v>
      </c>
      <c r="P27" s="110"/>
    </row>
    <row r="28" spans="1:16" ht="12.75" customHeight="1" thickBot="1">
      <c r="A28" s="68">
        <v>150</v>
      </c>
      <c r="B28" s="14"/>
      <c r="C28" s="73">
        <f>($A28*0.746*$K$6*($K$7/100))/(93/100)</f>
        <v>96258.06451612903</v>
      </c>
      <c r="D28" s="5">
        <f>($A28*0.746*$K$6*($K$7/100))/(95/100)</f>
        <v>94231.57894736843</v>
      </c>
      <c r="E28" s="111">
        <f t="shared" si="1"/>
        <v>2026.4855687606032</v>
      </c>
      <c r="F28" s="112"/>
      <c r="G28" s="15"/>
      <c r="H28" s="73">
        <f>($A28*0.746*$K$6*($K$7/100))/(95/100)</f>
        <v>94231.57894736843</v>
      </c>
      <c r="I28" s="6">
        <f>($A28*0.746*$K$6*($K$7/100))/(95.8/100)</f>
        <v>93444.6764091858</v>
      </c>
      <c r="J28" s="109">
        <f t="shared" si="0"/>
        <v>786.9025381826214</v>
      </c>
      <c r="K28" s="110"/>
      <c r="L28" s="33"/>
      <c r="M28" s="73">
        <f>($A28*0.746*$K$6*($K$7/100))/(93/100)</f>
        <v>96258.06451612903</v>
      </c>
      <c r="N28" s="6">
        <f>($A28*0.746*$K$6*($K$7/100))/(95.8/100)</f>
        <v>93444.6764091858</v>
      </c>
      <c r="O28" s="109">
        <f t="shared" si="2"/>
        <v>2813.3881069432246</v>
      </c>
      <c r="P28" s="110"/>
    </row>
    <row r="29" spans="1:16" ht="12.75" customHeight="1" thickBot="1">
      <c r="A29" s="69">
        <v>200</v>
      </c>
      <c r="B29" s="14"/>
      <c r="C29" s="74">
        <f>($A29*0.746*$K$6*($K$7/100))/(93.5/100)</f>
        <v>127657.75401069518</v>
      </c>
      <c r="D29" s="7">
        <f>($A29*0.746*$K$6*($K$7/100))/(95/100)</f>
        <v>125642.10526315791</v>
      </c>
      <c r="E29" s="119">
        <f t="shared" si="1"/>
        <v>2015.6487475372705</v>
      </c>
      <c r="F29" s="120"/>
      <c r="G29" s="15"/>
      <c r="H29" s="74">
        <f>($A29*0.746*$K$6*($K$7/100))/(95/100)</f>
        <v>125642.10526315791</v>
      </c>
      <c r="I29" s="75">
        <f>($A29*0.746*$K$6*($K$7/100))/(96.2/100)</f>
        <v>124074.84407484406</v>
      </c>
      <c r="J29" s="122">
        <f t="shared" si="0"/>
        <v>1567.2611883138452</v>
      </c>
      <c r="K29" s="123"/>
      <c r="L29" s="33"/>
      <c r="M29" s="74">
        <f>($A29*0.746*$K$6*($K$7/100))/(93.5/100)</f>
        <v>127657.75401069518</v>
      </c>
      <c r="N29" s="75">
        <f>($A29*0.746*$K$6*($K$7/100))/(96.2/100)</f>
        <v>124074.84407484406</v>
      </c>
      <c r="O29" s="122">
        <f t="shared" si="2"/>
        <v>3582.9099358511157</v>
      </c>
      <c r="P29" s="123"/>
    </row>
    <row r="30" spans="3:16" ht="7.5" customHeight="1" thickBot="1" thickTop="1">
      <c r="C30" s="35"/>
      <c r="D30" s="17"/>
      <c r="E30" s="18"/>
      <c r="F30" s="18"/>
      <c r="G30" s="16"/>
      <c r="H30" s="17"/>
      <c r="I30" s="18"/>
      <c r="J30" s="18"/>
      <c r="K30" s="18"/>
      <c r="M30" s="17"/>
      <c r="N30" s="18"/>
      <c r="O30" s="18"/>
      <c r="P30" s="18"/>
    </row>
    <row r="31" spans="1:16" ht="27" customHeight="1" thickBot="1" thickTop="1">
      <c r="A31" s="71" t="s">
        <v>28</v>
      </c>
      <c r="B31" s="12"/>
      <c r="C31" s="77" t="s">
        <v>12</v>
      </c>
      <c r="D31" s="21" t="s">
        <v>13</v>
      </c>
      <c r="E31" s="121" t="s">
        <v>6</v>
      </c>
      <c r="F31" s="114"/>
      <c r="G31" s="20"/>
      <c r="H31" s="78" t="s">
        <v>13</v>
      </c>
      <c r="I31" s="79" t="s">
        <v>14</v>
      </c>
      <c r="J31" s="121" t="s">
        <v>7</v>
      </c>
      <c r="K31" s="114"/>
      <c r="L31" s="33"/>
      <c r="M31" s="78" t="s">
        <v>12</v>
      </c>
      <c r="N31" s="79" t="s">
        <v>11</v>
      </c>
      <c r="O31" s="121" t="s">
        <v>7</v>
      </c>
      <c r="P31" s="114"/>
    </row>
    <row r="32" spans="1:16" ht="15" customHeight="1" thickBot="1" thickTop="1">
      <c r="A32" s="70">
        <v>250</v>
      </c>
      <c r="B32" s="19"/>
      <c r="C32" s="72">
        <f>($A32*0.746*$K$6*($K$7/100))/(94.2/100)</f>
        <v>158386.41188959658</v>
      </c>
      <c r="D32" s="34">
        <f>($A32*0.746*$K$6*($K$7/100))/(95/100)</f>
        <v>157052.6315789474</v>
      </c>
      <c r="E32" s="111">
        <f aca="true" t="shared" si="3" ref="E32:E37">C32-D32</f>
        <v>1333.780310649192</v>
      </c>
      <c r="F32" s="112"/>
      <c r="G32" s="23"/>
      <c r="H32" s="72">
        <f>($A32*0.746*$K$6*($K$7/100))/(95/100)</f>
        <v>157052.6315789474</v>
      </c>
      <c r="I32" s="22">
        <f aca="true" t="shared" si="4" ref="I32:I37">($A32*0.746*$K$6*($K$7/100))/(96.2/100)</f>
        <v>155093.55509355507</v>
      </c>
      <c r="J32" s="109">
        <f aca="true" t="shared" si="5" ref="J32:J37">H32-I32</f>
        <v>1959.0764853923174</v>
      </c>
      <c r="K32" s="110"/>
      <c r="L32" s="33"/>
      <c r="M32" s="72">
        <f>($A32*0.746*$K$6*($K$7/100))/(94.2/100)</f>
        <v>158386.41188959658</v>
      </c>
      <c r="N32" s="22">
        <f aca="true" t="shared" si="6" ref="N32:N37">($A32*0.746*$K$6*($K$7/100))/(96.2/100)</f>
        <v>155093.55509355507</v>
      </c>
      <c r="O32" s="109">
        <f aca="true" t="shared" si="7" ref="O32:O37">M32-N32</f>
        <v>3292.8567960415094</v>
      </c>
      <c r="P32" s="110"/>
    </row>
    <row r="33" spans="1:16" ht="15" customHeight="1" thickBot="1">
      <c r="A33" s="68">
        <v>300</v>
      </c>
      <c r="B33" s="13"/>
      <c r="C33" s="73">
        <f>($A33*0.746*$K$6*($K$7/100))/(94.4/100)</f>
        <v>189661.01694915252</v>
      </c>
      <c r="D33" s="6">
        <f>($A33*0.746*$K$6*($K$7/100))/(95.4/100)</f>
        <v>187672.95597484274</v>
      </c>
      <c r="E33" s="111">
        <f t="shared" si="3"/>
        <v>1988.0609743097739</v>
      </c>
      <c r="F33" s="112"/>
      <c r="G33" s="24"/>
      <c r="H33" s="73">
        <f>($A33*0.746*$K$6*($K$7/100))/(95.4/100)</f>
        <v>187672.95597484274</v>
      </c>
      <c r="I33" s="6">
        <f t="shared" si="4"/>
        <v>186112.2661122661</v>
      </c>
      <c r="J33" s="109">
        <f t="shared" si="5"/>
        <v>1560.6898625766335</v>
      </c>
      <c r="K33" s="110"/>
      <c r="L33" s="33"/>
      <c r="M33" s="73">
        <f>($A33*0.746*$K$6*($K$7/100))/(94.4/100)</f>
        <v>189661.01694915252</v>
      </c>
      <c r="N33" s="6">
        <f t="shared" si="6"/>
        <v>186112.2661122661</v>
      </c>
      <c r="O33" s="109">
        <f t="shared" si="7"/>
        <v>3548.7508368864073</v>
      </c>
      <c r="P33" s="110"/>
    </row>
    <row r="34" spans="1:16" ht="12.75" customHeight="1" thickBot="1">
      <c r="A34" s="68">
        <v>350</v>
      </c>
      <c r="B34" s="13"/>
      <c r="C34" s="73">
        <f>($A34*0.746*$K$6*($K$7/100))/(94.6/100)</f>
        <v>220803.38266384782</v>
      </c>
      <c r="D34" s="6">
        <f>($A34*0.746*$K$6*($K$7/100))/(95.4/100)</f>
        <v>218951.7819706499</v>
      </c>
      <c r="E34" s="111">
        <f t="shared" si="3"/>
        <v>1851.600693197921</v>
      </c>
      <c r="F34" s="112"/>
      <c r="G34" s="24"/>
      <c r="H34" s="73">
        <f>($A34*0.746*$K$6*($K$7/100))/(95.4/100)</f>
        <v>218951.7819706499</v>
      </c>
      <c r="I34" s="6">
        <f t="shared" si="4"/>
        <v>217130.97713097715</v>
      </c>
      <c r="J34" s="109">
        <f t="shared" si="5"/>
        <v>1820.8048396727536</v>
      </c>
      <c r="K34" s="110"/>
      <c r="L34" s="33"/>
      <c r="M34" s="73">
        <f>($A34*0.746*$K$6*($K$7/100))/(94.6/100)</f>
        <v>220803.38266384782</v>
      </c>
      <c r="N34" s="6">
        <f t="shared" si="6"/>
        <v>217130.97713097715</v>
      </c>
      <c r="O34" s="109">
        <f t="shared" si="7"/>
        <v>3672.4055328706745</v>
      </c>
      <c r="P34" s="110"/>
    </row>
    <row r="35" spans="1:16" ht="15" customHeight="1" thickBot="1">
      <c r="A35" s="68">
        <v>400</v>
      </c>
      <c r="B35" s="13"/>
      <c r="C35" s="73">
        <f>($A35*0.746*$K$6*($K$7/100))/(94.8/100)</f>
        <v>251814.3459915612</v>
      </c>
      <c r="D35" s="5">
        <f>($A35*0.746*$K$6*($K$7/100))/(95.4/100)</f>
        <v>250230.607966457</v>
      </c>
      <c r="E35" s="111">
        <f t="shared" si="3"/>
        <v>1583.7380251041905</v>
      </c>
      <c r="F35" s="112"/>
      <c r="G35" s="24"/>
      <c r="H35" s="73">
        <f>($A35*0.746*$K$6*($K$7/100))/(95.4/100)</f>
        <v>250230.607966457</v>
      </c>
      <c r="I35" s="6">
        <f t="shared" si="4"/>
        <v>248149.68814968813</v>
      </c>
      <c r="J35" s="109">
        <f t="shared" si="5"/>
        <v>2080.9198167688737</v>
      </c>
      <c r="K35" s="110"/>
      <c r="L35" s="33"/>
      <c r="M35" s="73">
        <f>($A35*0.746*$K$6*($K$7/100))/(94.8/100)</f>
        <v>251814.3459915612</v>
      </c>
      <c r="N35" s="6">
        <f t="shared" si="6"/>
        <v>248149.68814968813</v>
      </c>
      <c r="O35" s="109">
        <f t="shared" si="7"/>
        <v>3664.657841873064</v>
      </c>
      <c r="P35" s="110"/>
    </row>
    <row r="36" spans="1:16" ht="15" customHeight="1" thickBot="1">
      <c r="A36" s="68">
        <v>450</v>
      </c>
      <c r="B36" s="13"/>
      <c r="C36" s="73">
        <f>($A36*0.746*$K$6*($K$7/100))/(94.9/100)</f>
        <v>282992.6238145416</v>
      </c>
      <c r="D36" s="6">
        <f>($A36*0.746*$K$6*($K$7/100))/(95.4/100)</f>
        <v>281509.43396226416</v>
      </c>
      <c r="E36" s="111">
        <f t="shared" si="3"/>
        <v>1483.1898522774572</v>
      </c>
      <c r="F36" s="112"/>
      <c r="G36" s="24"/>
      <c r="H36" s="73">
        <f>($A36*0.746*$K$6*($K$7/100))/(95.4/100)</f>
        <v>281509.43396226416</v>
      </c>
      <c r="I36" s="6">
        <f t="shared" si="4"/>
        <v>279168.39916839916</v>
      </c>
      <c r="J36" s="109">
        <f t="shared" si="5"/>
        <v>2341.034793864994</v>
      </c>
      <c r="K36" s="110"/>
      <c r="L36" s="33"/>
      <c r="M36" s="73">
        <f>($A36*0.746*$K$6*($K$7/100))/(94.9/100)</f>
        <v>282992.6238145416</v>
      </c>
      <c r="N36" s="6">
        <f t="shared" si="6"/>
        <v>279168.39916839916</v>
      </c>
      <c r="O36" s="109">
        <f t="shared" si="7"/>
        <v>3824.224646142451</v>
      </c>
      <c r="P36" s="110"/>
    </row>
    <row r="37" spans="1:16" ht="15" customHeight="1" thickBot="1">
      <c r="A37" s="69">
        <v>500</v>
      </c>
      <c r="B37" s="13"/>
      <c r="C37" s="76">
        <f>($A37*0.746*$K$6*($K$7/100))/(94.9/100)</f>
        <v>314436.248682824</v>
      </c>
      <c r="D37" s="75">
        <f>($A37*0.746*$K$6*($K$7/100))/(95.8/100)</f>
        <v>311482.254697286</v>
      </c>
      <c r="E37" s="119">
        <f t="shared" si="3"/>
        <v>2953.9939855380217</v>
      </c>
      <c r="F37" s="120"/>
      <c r="G37" s="24"/>
      <c r="H37" s="76">
        <f>($A37*0.746*$K$6*($K$7/100))/(95.8/100)</f>
        <v>311482.254697286</v>
      </c>
      <c r="I37" s="25">
        <f t="shared" si="4"/>
        <v>310187.11018711014</v>
      </c>
      <c r="J37" s="122">
        <f t="shared" si="5"/>
        <v>1295.1445101758582</v>
      </c>
      <c r="K37" s="123"/>
      <c r="L37" s="33"/>
      <c r="M37" s="76">
        <f>($A37*0.746*$K$6*($K$7/100))/(94.9/100)</f>
        <v>314436.248682824</v>
      </c>
      <c r="N37" s="75">
        <f t="shared" si="6"/>
        <v>310187.11018711014</v>
      </c>
      <c r="O37" s="122">
        <f t="shared" si="7"/>
        <v>4249.13849571388</v>
      </c>
      <c r="P37" s="123"/>
    </row>
    <row r="38" spans="1:11" ht="7.5" customHeight="1" thickTop="1">
      <c r="A38" s="64"/>
      <c r="B38" s="20"/>
      <c r="C38" s="18"/>
      <c r="D38" s="18"/>
      <c r="E38" s="65"/>
      <c r="F38" s="65"/>
      <c r="G38" s="24"/>
      <c r="H38" s="18"/>
      <c r="I38" s="18"/>
      <c r="J38" s="65"/>
      <c r="K38" s="65"/>
    </row>
    <row r="39" spans="1:16" s="63" customFormat="1" ht="12" customHeight="1">
      <c r="A39" s="133" t="s">
        <v>29</v>
      </c>
      <c r="B39" s="133"/>
      <c r="C39" s="133"/>
      <c r="D39" s="133"/>
      <c r="E39" s="133"/>
      <c r="F39" s="133"/>
      <c r="G39" s="133"/>
      <c r="H39" s="133"/>
      <c r="I39" s="133"/>
      <c r="J39" s="133"/>
      <c r="K39" s="133"/>
      <c r="L39" s="133"/>
      <c r="M39" s="133"/>
      <c r="N39" s="133"/>
      <c r="O39" s="133"/>
      <c r="P39" s="133"/>
    </row>
    <row r="40" spans="1:16" ht="24" customHeight="1">
      <c r="A40" s="133" t="s">
        <v>30</v>
      </c>
      <c r="B40" s="133"/>
      <c r="C40" s="133"/>
      <c r="D40" s="133"/>
      <c r="E40" s="133"/>
      <c r="F40" s="133"/>
      <c r="G40" s="133"/>
      <c r="H40" s="133"/>
      <c r="I40" s="133"/>
      <c r="J40" s="133"/>
      <c r="K40" s="133"/>
      <c r="L40" s="133"/>
      <c r="M40" s="133"/>
      <c r="N40" s="133"/>
      <c r="O40" s="133"/>
      <c r="P40" s="133"/>
    </row>
    <row r="41" spans="1:16" ht="24" customHeight="1">
      <c r="A41" s="134" t="s">
        <v>31</v>
      </c>
      <c r="B41" s="135"/>
      <c r="C41" s="135"/>
      <c r="D41" s="135"/>
      <c r="E41" s="135"/>
      <c r="F41" s="135"/>
      <c r="G41" s="135"/>
      <c r="H41" s="135"/>
      <c r="I41" s="135"/>
      <c r="J41" s="135"/>
      <c r="K41" s="135"/>
      <c r="L41" s="135"/>
      <c r="M41" s="135"/>
      <c r="N41" s="135"/>
      <c r="O41" s="135"/>
      <c r="P41" s="135"/>
    </row>
    <row r="42" spans="1:16" ht="12" customHeight="1">
      <c r="A42" s="135"/>
      <c r="B42" s="135"/>
      <c r="C42" s="135"/>
      <c r="D42" s="135"/>
      <c r="E42" s="135"/>
      <c r="F42" s="135"/>
      <c r="G42" s="135"/>
      <c r="H42" s="135"/>
      <c r="I42" s="135"/>
      <c r="J42" s="135"/>
      <c r="K42" s="135"/>
      <c r="L42" s="135"/>
      <c r="M42" s="135"/>
      <c r="N42" s="135"/>
      <c r="O42" s="135"/>
      <c r="P42" s="135"/>
    </row>
    <row r="47" ht="12.75">
      <c r="K47" s="39"/>
    </row>
  </sheetData>
  <sheetProtection/>
  <mergeCells count="96">
    <mergeCell ref="A39:P39"/>
    <mergeCell ref="A41:P42"/>
    <mergeCell ref="D6:F7"/>
    <mergeCell ref="A40:P40"/>
    <mergeCell ref="H6:J6"/>
    <mergeCell ref="H7:J7"/>
    <mergeCell ref="O27:P27"/>
    <mergeCell ref="O20:P20"/>
    <mergeCell ref="O21:P21"/>
    <mergeCell ref="O22:P22"/>
    <mergeCell ref="D1:N3"/>
    <mergeCell ref="O37:P37"/>
    <mergeCell ref="O28:P28"/>
    <mergeCell ref="O29:P29"/>
    <mergeCell ref="O31:P31"/>
    <mergeCell ref="O32:P32"/>
    <mergeCell ref="O24:P24"/>
    <mergeCell ref="O25:P25"/>
    <mergeCell ref="O36:P36"/>
    <mergeCell ref="J37:K37"/>
    <mergeCell ref="J33:K33"/>
    <mergeCell ref="J34:K34"/>
    <mergeCell ref="J35:K35"/>
    <mergeCell ref="J36:K36"/>
    <mergeCell ref="O33:P33"/>
    <mergeCell ref="O34:P34"/>
    <mergeCell ref="O35:P35"/>
    <mergeCell ref="O18:P18"/>
    <mergeCell ref="O19:P19"/>
    <mergeCell ref="J31:K31"/>
    <mergeCell ref="J27:K27"/>
    <mergeCell ref="J28:K28"/>
    <mergeCell ref="J29:K29"/>
    <mergeCell ref="J18:K18"/>
    <mergeCell ref="J19:K19"/>
    <mergeCell ref="O26:P26"/>
    <mergeCell ref="O23:P23"/>
    <mergeCell ref="J32:K32"/>
    <mergeCell ref="M9:N9"/>
    <mergeCell ref="O9:P9"/>
    <mergeCell ref="O10:P10"/>
    <mergeCell ref="O11:P11"/>
    <mergeCell ref="O12:P12"/>
    <mergeCell ref="O13:P13"/>
    <mergeCell ref="O14:P14"/>
    <mergeCell ref="O15:P15"/>
    <mergeCell ref="J26:K26"/>
    <mergeCell ref="E37:F37"/>
    <mergeCell ref="E31:F31"/>
    <mergeCell ref="E32:F32"/>
    <mergeCell ref="E33:F33"/>
    <mergeCell ref="E34:F34"/>
    <mergeCell ref="E35:F35"/>
    <mergeCell ref="E36:F36"/>
    <mergeCell ref="E26:F26"/>
    <mergeCell ref="E19:F19"/>
    <mergeCell ref="E20:F20"/>
    <mergeCell ref="E21:F21"/>
    <mergeCell ref="E22:F22"/>
    <mergeCell ref="E23:F23"/>
    <mergeCell ref="E29:F29"/>
    <mergeCell ref="J20:K20"/>
    <mergeCell ref="J21:K21"/>
    <mergeCell ref="J22:K22"/>
    <mergeCell ref="J23:K23"/>
    <mergeCell ref="J24:K24"/>
    <mergeCell ref="J25:K25"/>
    <mergeCell ref="E24:F24"/>
    <mergeCell ref="E25:F25"/>
    <mergeCell ref="E28:F28"/>
    <mergeCell ref="A9:A10"/>
    <mergeCell ref="C9:D9"/>
    <mergeCell ref="H9:I9"/>
    <mergeCell ref="E11:F11"/>
    <mergeCell ref="E9:F9"/>
    <mergeCell ref="E10:F10"/>
    <mergeCell ref="E18:F18"/>
    <mergeCell ref="E27:F27"/>
    <mergeCell ref="J9:K9"/>
    <mergeCell ref="J10:K10"/>
    <mergeCell ref="J11:K11"/>
    <mergeCell ref="J12:K12"/>
    <mergeCell ref="J13:K13"/>
    <mergeCell ref="J14:K14"/>
    <mergeCell ref="J15:K15"/>
    <mergeCell ref="E12:F12"/>
    <mergeCell ref="N4:P8"/>
    <mergeCell ref="J16:K16"/>
    <mergeCell ref="E16:F16"/>
    <mergeCell ref="E17:F17"/>
    <mergeCell ref="E13:F13"/>
    <mergeCell ref="E14:F14"/>
    <mergeCell ref="E15:F15"/>
    <mergeCell ref="O17:P17"/>
    <mergeCell ref="J17:K17"/>
    <mergeCell ref="O16:P16"/>
  </mergeCells>
  <printOptions horizontalCentered="1" verticalCentered="1"/>
  <pageMargins left="0" right="0" top="0.25" bottom="0" header="0" footer="0"/>
  <pageSetup fitToHeight="1" fitToWidth="1" horizontalDpi="600" verticalDpi="600" orientation="landscape" scale="93" r:id="rId2"/>
  <headerFooter alignWithMargins="0">
    <oddFooter>&amp;R11/1/05</oddFooter>
  </headerFooter>
  <drawing r:id="rId1"/>
</worksheet>
</file>

<file path=xl/worksheets/sheet2.xml><?xml version="1.0" encoding="utf-8"?>
<worksheet xmlns="http://schemas.openxmlformats.org/spreadsheetml/2006/main" xmlns:r="http://schemas.openxmlformats.org/officeDocument/2006/relationships">
  <dimension ref="A1:K43"/>
  <sheetViews>
    <sheetView workbookViewId="0" topLeftCell="A1">
      <selection activeCell="B27" sqref="B27"/>
    </sheetView>
  </sheetViews>
  <sheetFormatPr defaultColWidth="9.140625" defaultRowHeight="12.75"/>
  <cols>
    <col min="1" max="4" width="10.7109375" style="1" customWidth="1"/>
    <col min="5" max="10" width="9.140625" style="1" customWidth="1"/>
    <col min="11" max="11" width="5.7109375" style="1" customWidth="1"/>
    <col min="12" max="16384" width="9.140625" style="1" customWidth="1"/>
  </cols>
  <sheetData>
    <row r="1" spans="1:11" ht="25.5" customHeight="1" thickTop="1">
      <c r="A1" s="124" t="s">
        <v>33</v>
      </c>
      <c r="B1" s="125"/>
      <c r="C1" s="125"/>
      <c r="D1" s="125"/>
      <c r="E1" s="125"/>
      <c r="F1" s="125"/>
      <c r="G1" s="125"/>
      <c r="H1" s="125"/>
      <c r="I1" s="125"/>
      <c r="J1" s="125"/>
      <c r="K1" s="126"/>
    </row>
    <row r="2" spans="1:11" ht="25.5" customHeight="1">
      <c r="A2" s="127"/>
      <c r="B2" s="128"/>
      <c r="C2" s="128"/>
      <c r="D2" s="128"/>
      <c r="E2" s="128"/>
      <c r="F2" s="128"/>
      <c r="G2" s="128"/>
      <c r="H2" s="128"/>
      <c r="I2" s="128"/>
      <c r="J2" s="128"/>
      <c r="K2" s="129"/>
    </row>
    <row r="3" spans="1:11" ht="25.5" customHeight="1" thickBot="1">
      <c r="A3" s="130"/>
      <c r="B3" s="131"/>
      <c r="C3" s="131"/>
      <c r="D3" s="131"/>
      <c r="E3" s="131"/>
      <c r="F3" s="131"/>
      <c r="G3" s="131"/>
      <c r="H3" s="131"/>
      <c r="I3" s="131"/>
      <c r="J3" s="131"/>
      <c r="K3" s="132"/>
    </row>
    <row r="4" spans="1:5" ht="7.5" customHeight="1" thickBot="1" thickTop="1">
      <c r="A4" s="28"/>
      <c r="B4" s="28"/>
      <c r="C4" s="28"/>
      <c r="D4" s="28"/>
      <c r="E4" s="27"/>
    </row>
    <row r="5" spans="4:7" ht="13.5" customHeight="1" thickTop="1">
      <c r="D5" s="147" t="s">
        <v>0</v>
      </c>
      <c r="E5" s="144" t="s">
        <v>20</v>
      </c>
      <c r="F5" s="149" t="s">
        <v>24</v>
      </c>
      <c r="G5" s="153" t="s">
        <v>25</v>
      </c>
    </row>
    <row r="6" spans="4:7" ht="13.5" customHeight="1" thickBot="1">
      <c r="D6" s="148"/>
      <c r="E6" s="145"/>
      <c r="F6" s="150"/>
      <c r="G6" s="154"/>
    </row>
    <row r="7" spans="4:7" ht="12.75" customHeight="1">
      <c r="D7" s="84">
        <v>1</v>
      </c>
      <c r="E7" s="83">
        <v>76.68</v>
      </c>
      <c r="F7" s="49">
        <v>82.5</v>
      </c>
      <c r="G7" s="46">
        <v>85.5</v>
      </c>
    </row>
    <row r="8" spans="4:7" ht="12.75" customHeight="1">
      <c r="D8" s="84">
        <v>1.5</v>
      </c>
      <c r="E8" s="83">
        <v>79.08</v>
      </c>
      <c r="F8" s="50">
        <v>84</v>
      </c>
      <c r="G8" s="47">
        <v>86.5</v>
      </c>
    </row>
    <row r="9" spans="4:7" ht="12.75" customHeight="1">
      <c r="D9" s="84">
        <v>2</v>
      </c>
      <c r="E9" s="83">
        <v>80.83</v>
      </c>
      <c r="F9" s="50">
        <v>84</v>
      </c>
      <c r="G9" s="47">
        <v>86.5</v>
      </c>
    </row>
    <row r="10" spans="4:7" ht="12.75" customHeight="1">
      <c r="D10" s="84">
        <v>3</v>
      </c>
      <c r="E10" s="83">
        <v>81.4</v>
      </c>
      <c r="F10" s="50">
        <v>87.5</v>
      </c>
      <c r="G10" s="47">
        <v>89.5</v>
      </c>
    </row>
    <row r="11" spans="4:7" ht="12.75" customHeight="1">
      <c r="D11" s="84">
        <v>5</v>
      </c>
      <c r="E11" s="83">
        <v>83.34</v>
      </c>
      <c r="F11" s="50">
        <v>87.5</v>
      </c>
      <c r="G11" s="47">
        <v>89.5</v>
      </c>
    </row>
    <row r="12" spans="4:7" ht="12.75" customHeight="1">
      <c r="D12" s="84">
        <v>7.5</v>
      </c>
      <c r="E12" s="83">
        <v>85.51</v>
      </c>
      <c r="F12" s="50">
        <v>89.5</v>
      </c>
      <c r="G12" s="47">
        <v>91.7</v>
      </c>
    </row>
    <row r="13" spans="4:7" ht="12.75" customHeight="1">
      <c r="D13" s="84">
        <v>10</v>
      </c>
      <c r="E13" s="83">
        <v>85.73</v>
      </c>
      <c r="F13" s="50">
        <v>89.5</v>
      </c>
      <c r="G13" s="47">
        <v>91.7</v>
      </c>
    </row>
    <row r="14" spans="4:10" ht="12.75" customHeight="1">
      <c r="D14" s="84">
        <v>15</v>
      </c>
      <c r="E14" s="83">
        <v>86.63</v>
      </c>
      <c r="F14" s="50">
        <v>91</v>
      </c>
      <c r="G14" s="47">
        <v>92.4</v>
      </c>
      <c r="H14" s="37"/>
      <c r="I14" s="37"/>
      <c r="J14" s="37"/>
    </row>
    <row r="15" spans="4:10" ht="12.75" customHeight="1">
      <c r="D15" s="84">
        <v>20</v>
      </c>
      <c r="E15" s="83">
        <v>88.52</v>
      </c>
      <c r="F15" s="50">
        <v>91</v>
      </c>
      <c r="G15" s="47">
        <v>93</v>
      </c>
      <c r="H15" s="36"/>
      <c r="I15" s="37"/>
      <c r="J15" s="38"/>
    </row>
    <row r="16" spans="4:10" ht="12.75" customHeight="1">
      <c r="D16" s="84">
        <v>25</v>
      </c>
      <c r="E16" s="83">
        <v>89.3</v>
      </c>
      <c r="F16" s="50">
        <v>92.4</v>
      </c>
      <c r="G16" s="47">
        <v>93.6</v>
      </c>
      <c r="H16" s="18"/>
      <c r="I16" s="23"/>
      <c r="J16" s="23"/>
    </row>
    <row r="17" spans="4:10" ht="12.75" customHeight="1">
      <c r="D17" s="84">
        <v>30</v>
      </c>
      <c r="E17" s="83">
        <v>89.56</v>
      </c>
      <c r="F17" s="50">
        <v>92.4</v>
      </c>
      <c r="G17" s="47">
        <v>93.6</v>
      </c>
      <c r="H17" s="18"/>
      <c r="I17" s="23"/>
      <c r="J17" s="23"/>
    </row>
    <row r="18" spans="4:10" ht="12.75" customHeight="1">
      <c r="D18" s="84">
        <v>40</v>
      </c>
      <c r="E18" s="83">
        <v>90.19</v>
      </c>
      <c r="F18" s="50">
        <v>93</v>
      </c>
      <c r="G18" s="47">
        <v>94.1</v>
      </c>
      <c r="H18" s="18"/>
      <c r="I18" s="23"/>
      <c r="J18" s="23"/>
    </row>
    <row r="19" spans="4:10" ht="12.75" customHeight="1">
      <c r="D19" s="84">
        <v>50</v>
      </c>
      <c r="E19" s="83">
        <v>91.32</v>
      </c>
      <c r="F19" s="50">
        <v>93</v>
      </c>
      <c r="G19" s="47">
        <v>94.5</v>
      </c>
      <c r="H19" s="18"/>
      <c r="I19" s="23"/>
      <c r="J19" s="23"/>
    </row>
    <row r="20" spans="4:10" ht="12.75" customHeight="1">
      <c r="D20" s="84">
        <v>60</v>
      </c>
      <c r="E20" s="83">
        <v>91.75</v>
      </c>
      <c r="F20" s="50">
        <v>93.6</v>
      </c>
      <c r="G20" s="47">
        <v>95</v>
      </c>
      <c r="H20" s="18"/>
      <c r="I20" s="23"/>
      <c r="J20" s="23"/>
    </row>
    <row r="21" spans="4:10" ht="12.75" customHeight="1">
      <c r="D21" s="84">
        <v>75</v>
      </c>
      <c r="E21" s="83">
        <v>91.68</v>
      </c>
      <c r="F21" s="50">
        <v>94.1</v>
      </c>
      <c r="G21" s="47">
        <v>95.4</v>
      </c>
      <c r="H21" s="18"/>
      <c r="I21" s="23"/>
      <c r="J21" s="23"/>
    </row>
    <row r="22" spans="4:10" ht="12.75" customHeight="1">
      <c r="D22" s="84">
        <v>100</v>
      </c>
      <c r="E22" s="83">
        <v>92.25</v>
      </c>
      <c r="F22" s="50">
        <v>94.5</v>
      </c>
      <c r="G22" s="47">
        <v>95.4</v>
      </c>
      <c r="H22" s="18"/>
      <c r="I22" s="23"/>
      <c r="J22" s="23"/>
    </row>
    <row r="23" spans="4:10" ht="12.75" customHeight="1">
      <c r="D23" s="84">
        <v>125</v>
      </c>
      <c r="E23" s="83">
        <v>92.19</v>
      </c>
      <c r="F23" s="50">
        <v>94.5</v>
      </c>
      <c r="G23" s="47">
        <v>95.4</v>
      </c>
      <c r="H23" s="18"/>
      <c r="I23" s="23"/>
      <c r="J23" s="23"/>
    </row>
    <row r="24" spans="4:10" ht="12.75" customHeight="1">
      <c r="D24" s="84">
        <v>150</v>
      </c>
      <c r="E24" s="83">
        <v>93.03</v>
      </c>
      <c r="F24" s="50">
        <v>95</v>
      </c>
      <c r="G24" s="47">
        <v>95.8</v>
      </c>
      <c r="H24" s="18"/>
      <c r="I24" s="23"/>
      <c r="J24" s="23"/>
    </row>
    <row r="25" spans="4:10" ht="12.75" customHeight="1" thickBot="1">
      <c r="D25" s="84">
        <v>200</v>
      </c>
      <c r="E25" s="83">
        <v>93.54</v>
      </c>
      <c r="F25" s="51">
        <v>95</v>
      </c>
      <c r="G25" s="48">
        <v>96.2</v>
      </c>
      <c r="H25" s="18"/>
      <c r="I25" s="23"/>
      <c r="J25" s="23"/>
    </row>
    <row r="26" spans="4:10" ht="7.5" customHeight="1" thickBot="1" thickTop="1">
      <c r="D26" s="2"/>
      <c r="G26" s="18"/>
      <c r="H26" s="18"/>
      <c r="I26" s="23"/>
      <c r="J26" s="23"/>
    </row>
    <row r="27" spans="4:10" ht="13.5" customHeight="1" thickTop="1">
      <c r="D27" s="147" t="s">
        <v>0</v>
      </c>
      <c r="E27" s="144" t="s">
        <v>20</v>
      </c>
      <c r="F27" s="149" t="s">
        <v>26</v>
      </c>
      <c r="G27" s="155" t="s">
        <v>25</v>
      </c>
      <c r="H27" s="18"/>
      <c r="I27" s="23"/>
      <c r="J27" s="23"/>
    </row>
    <row r="28" spans="4:10" ht="13.5" customHeight="1" thickBot="1">
      <c r="D28" s="158"/>
      <c r="E28" s="146"/>
      <c r="F28" s="159"/>
      <c r="G28" s="156"/>
      <c r="H28" s="18"/>
      <c r="I28" s="23"/>
      <c r="J28" s="23"/>
    </row>
    <row r="29" spans="4:10" ht="12.75">
      <c r="D29" s="84">
        <v>250</v>
      </c>
      <c r="E29" s="83">
        <v>94.22</v>
      </c>
      <c r="F29" s="53">
        <v>95</v>
      </c>
      <c r="G29" s="44">
        <v>96.2</v>
      </c>
      <c r="H29" s="18"/>
      <c r="I29" s="23"/>
      <c r="J29" s="23"/>
    </row>
    <row r="30" spans="4:10" ht="12.75">
      <c r="D30" s="84">
        <v>300</v>
      </c>
      <c r="E30" s="83">
        <v>94.44</v>
      </c>
      <c r="F30" s="54">
        <v>95.4</v>
      </c>
      <c r="G30" s="45">
        <v>96.2</v>
      </c>
      <c r="H30" s="18"/>
      <c r="I30" s="23"/>
      <c r="J30" s="23"/>
    </row>
    <row r="31" spans="4:10" ht="12.75">
      <c r="D31" s="84">
        <v>350</v>
      </c>
      <c r="E31" s="83">
        <v>94.56</v>
      </c>
      <c r="F31" s="54">
        <v>95.4</v>
      </c>
      <c r="G31" s="45">
        <v>96.2</v>
      </c>
      <c r="H31" s="18"/>
      <c r="I31" s="23"/>
      <c r="J31" s="23"/>
    </row>
    <row r="32" spans="4:7" ht="12.75">
      <c r="D32" s="84">
        <v>400</v>
      </c>
      <c r="E32" s="83">
        <v>94.83</v>
      </c>
      <c r="F32" s="54">
        <v>95.4</v>
      </c>
      <c r="G32" s="45">
        <v>96.2</v>
      </c>
    </row>
    <row r="33" spans="4:10" ht="12.75">
      <c r="D33" s="84">
        <v>450</v>
      </c>
      <c r="E33" s="83">
        <v>94.88</v>
      </c>
      <c r="F33" s="54">
        <v>95.4</v>
      </c>
      <c r="G33" s="45">
        <v>96.2</v>
      </c>
      <c r="H33" s="18"/>
      <c r="I33" s="23"/>
      <c r="J33" s="23"/>
    </row>
    <row r="34" spans="4:10" ht="13.5" thickBot="1">
      <c r="D34" s="84">
        <v>500</v>
      </c>
      <c r="E34" s="83">
        <v>94.86</v>
      </c>
      <c r="F34" s="55">
        <v>95.8</v>
      </c>
      <c r="G34" s="52">
        <v>96.2</v>
      </c>
      <c r="H34" s="18"/>
      <c r="I34" s="23"/>
      <c r="J34" s="23"/>
    </row>
    <row r="35" spans="7:10" ht="13.5" thickTop="1">
      <c r="G35" s="17"/>
      <c r="H35" s="18"/>
      <c r="I35" s="18"/>
      <c r="J35" s="18"/>
    </row>
    <row r="36" spans="3:10" ht="27.75" customHeight="1">
      <c r="C36" s="157" t="s">
        <v>27</v>
      </c>
      <c r="D36" s="157"/>
      <c r="E36" s="157"/>
      <c r="F36" s="157"/>
      <c r="G36" s="157"/>
      <c r="H36" s="157"/>
      <c r="I36" s="18"/>
      <c r="J36" s="18"/>
    </row>
    <row r="37" spans="3:10" ht="13.5" customHeight="1">
      <c r="C37" s="151" t="s">
        <v>21</v>
      </c>
      <c r="D37" s="151"/>
      <c r="E37" s="151"/>
      <c r="F37" s="151"/>
      <c r="G37" s="151"/>
      <c r="H37" s="151"/>
      <c r="I37" s="37"/>
      <c r="J37" s="37"/>
    </row>
    <row r="38" spans="3:10" ht="13.5" customHeight="1">
      <c r="C38" s="151" t="s">
        <v>22</v>
      </c>
      <c r="D38" s="151"/>
      <c r="E38" s="151"/>
      <c r="F38" s="151"/>
      <c r="G38" s="151"/>
      <c r="H38" s="151"/>
      <c r="I38" s="23"/>
      <c r="J38" s="23"/>
    </row>
    <row r="39" spans="3:10" ht="13.5" customHeight="1">
      <c r="C39" s="152" t="s">
        <v>23</v>
      </c>
      <c r="D39" s="152"/>
      <c r="E39" s="152"/>
      <c r="F39" s="152"/>
      <c r="G39" s="152"/>
      <c r="H39" s="152"/>
      <c r="I39" s="23"/>
      <c r="J39" s="23"/>
    </row>
    <row r="40" spans="6:10" ht="19.5" customHeight="1">
      <c r="F40" s="29"/>
      <c r="G40" s="18"/>
      <c r="H40" s="18"/>
      <c r="I40" s="23"/>
      <c r="J40" s="23"/>
    </row>
    <row r="41" spans="7:10" ht="12.75">
      <c r="G41" s="18"/>
      <c r="H41" s="18"/>
      <c r="I41" s="23"/>
      <c r="J41" s="23"/>
    </row>
    <row r="42" spans="7:10" ht="12.75">
      <c r="G42" s="18"/>
      <c r="H42" s="18"/>
      <c r="I42" s="23"/>
      <c r="J42" s="23"/>
    </row>
    <row r="43" spans="7:10" ht="12.75">
      <c r="G43" s="18"/>
      <c r="H43" s="18"/>
      <c r="I43" s="23"/>
      <c r="J43" s="23"/>
    </row>
  </sheetData>
  <sheetProtection password="A211" sheet="1" objects="1" scenarios="1"/>
  <mergeCells count="13">
    <mergeCell ref="A1:K3"/>
    <mergeCell ref="C38:H38"/>
    <mergeCell ref="C39:H39"/>
    <mergeCell ref="G5:G6"/>
    <mergeCell ref="G27:G28"/>
    <mergeCell ref="C36:H36"/>
    <mergeCell ref="C37:H37"/>
    <mergeCell ref="D27:D28"/>
    <mergeCell ref="F27:F28"/>
    <mergeCell ref="E5:E6"/>
    <mergeCell ref="E27:E28"/>
    <mergeCell ref="D5:D6"/>
    <mergeCell ref="F5:F6"/>
  </mergeCells>
  <printOptions horizontalCentered="1" verticalCentered="1"/>
  <pageMargins left="0.25" right="0.25" top="0.25" bottom="0" header="0" footer="0"/>
  <pageSetup horizontalDpi="600" verticalDpi="600" orientation="landscape" r:id="rId2"/>
  <headerFooter alignWithMargins="0">
    <oddFooter>&amp;R11/1/05</oddFooter>
  </headerFooter>
  <drawing r:id="rId1"/>
</worksheet>
</file>

<file path=xl/worksheets/sheet3.xml><?xml version="1.0" encoding="utf-8"?>
<worksheet xmlns="http://schemas.openxmlformats.org/spreadsheetml/2006/main" xmlns:r="http://schemas.openxmlformats.org/officeDocument/2006/relationships">
  <dimension ref="A1:R47"/>
  <sheetViews>
    <sheetView workbookViewId="0" topLeftCell="A1">
      <selection activeCell="H19" sqref="H19"/>
    </sheetView>
  </sheetViews>
  <sheetFormatPr defaultColWidth="9.140625" defaultRowHeight="12.75"/>
  <cols>
    <col min="1" max="1" width="6.7109375" style="8" customWidth="1"/>
    <col min="2" max="2" width="2.7109375" style="8" customWidth="1"/>
    <col min="3" max="4" width="13.7109375" style="8" customWidth="1"/>
    <col min="5" max="6" width="8.7109375" style="8" customWidth="1"/>
    <col min="7" max="7" width="1.7109375" style="8" customWidth="1"/>
    <col min="8" max="9" width="13.7109375" style="8" customWidth="1"/>
    <col min="10" max="11" width="8.7109375" style="8" customWidth="1"/>
    <col min="12" max="12" width="1.7109375" style="8" customWidth="1"/>
    <col min="13" max="14" width="13.7109375" style="8" customWidth="1"/>
    <col min="15" max="16" width="8.7109375" style="8" customWidth="1"/>
    <col min="17" max="16384" width="9.140625" style="8" customWidth="1"/>
  </cols>
  <sheetData>
    <row r="1" spans="2:16" ht="24" customHeight="1" thickTop="1">
      <c r="B1" s="58"/>
      <c r="C1" s="59"/>
      <c r="D1" s="124" t="s">
        <v>35</v>
      </c>
      <c r="E1" s="125"/>
      <c r="F1" s="125"/>
      <c r="G1" s="125"/>
      <c r="H1" s="125"/>
      <c r="I1" s="125"/>
      <c r="J1" s="125"/>
      <c r="K1" s="125"/>
      <c r="L1" s="125"/>
      <c r="M1" s="125"/>
      <c r="N1" s="126"/>
      <c r="P1" s="85"/>
    </row>
    <row r="2" spans="1:16" ht="24" customHeight="1">
      <c r="A2" s="58"/>
      <c r="B2" s="60"/>
      <c r="C2" s="60"/>
      <c r="D2" s="127"/>
      <c r="E2" s="128"/>
      <c r="F2" s="128"/>
      <c r="G2" s="128"/>
      <c r="H2" s="128"/>
      <c r="I2" s="128"/>
      <c r="J2" s="128"/>
      <c r="K2" s="128"/>
      <c r="L2" s="128"/>
      <c r="M2" s="128"/>
      <c r="N2" s="129"/>
      <c r="O2" s="85"/>
      <c r="P2" s="85"/>
    </row>
    <row r="3" spans="1:16" ht="24" customHeight="1" thickBot="1">
      <c r="A3" s="58"/>
      <c r="B3" s="58"/>
      <c r="C3" s="58"/>
      <c r="D3" s="130"/>
      <c r="E3" s="131"/>
      <c r="F3" s="131"/>
      <c r="G3" s="131"/>
      <c r="H3" s="131"/>
      <c r="I3" s="131"/>
      <c r="J3" s="131"/>
      <c r="K3" s="131"/>
      <c r="L3" s="131"/>
      <c r="M3" s="131"/>
      <c r="N3" s="132"/>
      <c r="P3" s="85"/>
    </row>
    <row r="4" spans="1:16" ht="7.5" customHeight="1" thickTop="1">
      <c r="A4" s="9"/>
      <c r="B4" s="9"/>
      <c r="C4" s="9"/>
      <c r="D4" s="9"/>
      <c r="E4" s="9"/>
      <c r="F4" s="9"/>
      <c r="G4" s="9"/>
      <c r="H4" s="9"/>
      <c r="I4" s="9"/>
      <c r="J4" s="9"/>
      <c r="K4" s="9"/>
      <c r="N4" s="106" t="s">
        <v>34</v>
      </c>
      <c r="O4" s="107"/>
      <c r="P4" s="107"/>
    </row>
    <row r="5" spans="4:16" ht="7.5" customHeight="1" thickBot="1">
      <c r="D5" s="26"/>
      <c r="E5" s="26"/>
      <c r="F5" s="26"/>
      <c r="G5" s="26"/>
      <c r="H5" s="26"/>
      <c r="I5" s="26"/>
      <c r="J5" s="31"/>
      <c r="K5" s="30"/>
      <c r="N5" s="107"/>
      <c r="O5" s="107"/>
      <c r="P5" s="107"/>
    </row>
    <row r="6" spans="3:18" ht="19.5" customHeight="1" thickTop="1">
      <c r="C6" s="33"/>
      <c r="D6" s="136" t="s">
        <v>16</v>
      </c>
      <c r="E6" s="136"/>
      <c r="F6" s="137"/>
      <c r="G6" s="42"/>
      <c r="H6" s="140" t="s">
        <v>17</v>
      </c>
      <c r="I6" s="141"/>
      <c r="J6" s="141"/>
      <c r="K6" s="40">
        <v>8000</v>
      </c>
      <c r="L6" s="56"/>
      <c r="M6" s="61" t="s">
        <v>18</v>
      </c>
      <c r="N6" s="107"/>
      <c r="O6" s="107"/>
      <c r="P6" s="107"/>
      <c r="R6" s="86"/>
    </row>
    <row r="7" spans="3:16" ht="19.5" customHeight="1" thickBot="1">
      <c r="C7" s="33"/>
      <c r="D7" s="138"/>
      <c r="E7" s="138"/>
      <c r="F7" s="139"/>
      <c r="G7" s="43"/>
      <c r="H7" s="142" t="s">
        <v>19</v>
      </c>
      <c r="I7" s="143"/>
      <c r="J7" s="143"/>
      <c r="K7" s="41">
        <v>10</v>
      </c>
      <c r="L7" s="57"/>
      <c r="M7" s="62" t="s">
        <v>8</v>
      </c>
      <c r="N7" s="107"/>
      <c r="O7" s="107"/>
      <c r="P7" s="107"/>
    </row>
    <row r="8" spans="1:16" ht="7.5" customHeight="1" thickBot="1" thickTop="1">
      <c r="A8" s="10"/>
      <c r="D8" s="10"/>
      <c r="E8" s="10"/>
      <c r="F8" s="10"/>
      <c r="H8" s="10"/>
      <c r="I8" s="10"/>
      <c r="J8" s="11"/>
      <c r="K8" s="32"/>
      <c r="N8" s="108"/>
      <c r="O8" s="108"/>
      <c r="P8" s="108"/>
    </row>
    <row r="9" spans="1:16" ht="30" customHeight="1" thickBot="1" thickTop="1">
      <c r="A9" s="117" t="s">
        <v>15</v>
      </c>
      <c r="B9" s="19"/>
      <c r="C9" s="113" t="s">
        <v>1</v>
      </c>
      <c r="D9" s="114"/>
      <c r="E9" s="113" t="s">
        <v>2</v>
      </c>
      <c r="F9" s="114"/>
      <c r="G9" s="13"/>
      <c r="H9" s="113" t="s">
        <v>1</v>
      </c>
      <c r="I9" s="114"/>
      <c r="J9" s="113" t="s">
        <v>2</v>
      </c>
      <c r="K9" s="114"/>
      <c r="M9" s="113" t="s">
        <v>1</v>
      </c>
      <c r="N9" s="114"/>
      <c r="O9" s="113" t="s">
        <v>2</v>
      </c>
      <c r="P9" s="114"/>
    </row>
    <row r="10" spans="1:16" ht="24.75" customHeight="1" thickBot="1">
      <c r="A10" s="118"/>
      <c r="B10" s="19"/>
      <c r="C10" s="81" t="s">
        <v>9</v>
      </c>
      <c r="D10" s="82" t="s">
        <v>10</v>
      </c>
      <c r="E10" s="115" t="s">
        <v>5</v>
      </c>
      <c r="F10" s="116"/>
      <c r="G10" s="13"/>
      <c r="H10" s="81" t="s">
        <v>10</v>
      </c>
      <c r="I10" s="82" t="s">
        <v>11</v>
      </c>
      <c r="J10" s="115" t="s">
        <v>3</v>
      </c>
      <c r="K10" s="116"/>
      <c r="L10" s="33"/>
      <c r="M10" s="80" t="s">
        <v>12</v>
      </c>
      <c r="N10" s="66" t="s">
        <v>11</v>
      </c>
      <c r="O10" s="115" t="s">
        <v>4</v>
      </c>
      <c r="P10" s="116"/>
    </row>
    <row r="11" spans="1:16" ht="12.75" customHeight="1" thickBot="1">
      <c r="A11" s="67">
        <v>1</v>
      </c>
      <c r="B11" s="14"/>
      <c r="C11" s="72">
        <f>($A$11*0.746*$K$6*($K$7/100))/(77.6/100)</f>
        <v>769.0721649484537</v>
      </c>
      <c r="D11" s="3">
        <f>($A$11*0.746*$K$6*($K$7/100))/(82.5/100)</f>
        <v>723.3939393939395</v>
      </c>
      <c r="E11" s="111">
        <f>C11-D11</f>
        <v>45.678225554514256</v>
      </c>
      <c r="F11" s="112"/>
      <c r="G11" s="15"/>
      <c r="H11" s="3">
        <f>($A$11*0.746*$K$6*($K$7/100))/(82.5/100)</f>
        <v>723.3939393939395</v>
      </c>
      <c r="I11" s="4">
        <f>($A11*0.746*$K$6*($K$7/100))/(85.5/100)</f>
        <v>698.0116959064328</v>
      </c>
      <c r="J11" s="111">
        <f aca="true" t="shared" si="0" ref="J11:J29">H11-I11</f>
        <v>25.382243487506685</v>
      </c>
      <c r="K11" s="112"/>
      <c r="L11" s="33"/>
      <c r="M11" s="72">
        <f>($A$11*0.746*$K$6*($K$7/100))/(77.6/100)</f>
        <v>769.0721649484537</v>
      </c>
      <c r="N11" s="4">
        <f>($A11*0.746*$K$6*($K$7/100))/(85.5/100)</f>
        <v>698.0116959064328</v>
      </c>
      <c r="O11" s="111">
        <f>M11-N11</f>
        <v>71.06046904202094</v>
      </c>
      <c r="P11" s="112"/>
    </row>
    <row r="12" spans="1:16" ht="12.75" customHeight="1" thickBot="1">
      <c r="A12" s="68">
        <v>1.5</v>
      </c>
      <c r="B12" s="14"/>
      <c r="C12" s="73">
        <f>($A12*0.746*$K$6*($K$7/100))/(79.3/100)</f>
        <v>1128.877679697352</v>
      </c>
      <c r="D12" s="5">
        <f>($A12*0.746*$K$6*($K$7/100))/(84/100)</f>
        <v>1065.7142857142858</v>
      </c>
      <c r="E12" s="111">
        <f aca="true" t="shared" si="1" ref="E12:E29">C12-D12</f>
        <v>63.16339398306627</v>
      </c>
      <c r="F12" s="112"/>
      <c r="G12" s="15"/>
      <c r="H12" s="5">
        <f>($A12*0.746*$K$6*($K$7/100))/(84/100)</f>
        <v>1065.7142857142858</v>
      </c>
      <c r="I12" s="6">
        <f>($A12*0.746*$K$6*($K$7/100))/(86.5/100)</f>
        <v>1034.913294797688</v>
      </c>
      <c r="J12" s="109">
        <f t="shared" si="0"/>
        <v>30.80099091659781</v>
      </c>
      <c r="K12" s="110"/>
      <c r="L12" s="33"/>
      <c r="M12" s="73">
        <f>($A12*0.746*$K$6*($K$7/100))/(79.3/100)</f>
        <v>1128.877679697352</v>
      </c>
      <c r="N12" s="6">
        <f>($A12*0.746*$K$6*($K$7/100))/(86.5/100)</f>
        <v>1034.913294797688</v>
      </c>
      <c r="O12" s="109">
        <f>M12-N12</f>
        <v>93.96438489966408</v>
      </c>
      <c r="P12" s="110"/>
    </row>
    <row r="13" spans="1:16" ht="12.75" customHeight="1" thickBot="1">
      <c r="A13" s="68">
        <v>2</v>
      </c>
      <c r="B13" s="14"/>
      <c r="C13" s="73">
        <f>($A13*0.746*$K$6*($K$7/100))/(80.5/100)</f>
        <v>1482.7329192546586</v>
      </c>
      <c r="D13" s="5">
        <f>($A13*0.746*$K$6*($K$7/100))/(84/100)</f>
        <v>1420.9523809523812</v>
      </c>
      <c r="E13" s="111">
        <f t="shared" si="1"/>
        <v>61.780538302277364</v>
      </c>
      <c r="F13" s="112"/>
      <c r="G13" s="15"/>
      <c r="H13" s="5">
        <f>($A13*0.746*$K$6*($K$7/100))/(84/100)</f>
        <v>1420.9523809523812</v>
      </c>
      <c r="I13" s="6">
        <f>($A13*0.746*$K$6*($K$7/100))/(86.5/100)</f>
        <v>1379.884393063584</v>
      </c>
      <c r="J13" s="109">
        <f t="shared" si="0"/>
        <v>41.067987888797234</v>
      </c>
      <c r="K13" s="110"/>
      <c r="L13" s="33"/>
      <c r="M13" s="73">
        <f>($A13*0.746*$K$6*($K$7/100))/(80.5/100)</f>
        <v>1482.7329192546586</v>
      </c>
      <c r="N13" s="6">
        <f>($A13*0.746*$K$6*($K$7/100))/(86.5/100)</f>
        <v>1379.884393063584</v>
      </c>
      <c r="O13" s="109">
        <f>M13-N13</f>
        <v>102.8485261910746</v>
      </c>
      <c r="P13" s="110"/>
    </row>
    <row r="14" spans="1:16" ht="12.75" customHeight="1" thickBot="1">
      <c r="A14" s="68">
        <v>3</v>
      </c>
      <c r="B14" s="14"/>
      <c r="C14" s="73">
        <f>($A14*0.746*$K$6*($K$7/100))/(82.4/100)</f>
        <v>2172.8155339805826</v>
      </c>
      <c r="D14" s="5">
        <f>($A14*0.746*$K$6*($K$7/100))/(86.5/100)</f>
        <v>2069.826589595376</v>
      </c>
      <c r="E14" s="111">
        <f t="shared" si="1"/>
        <v>102.98894438520665</v>
      </c>
      <c r="F14" s="112"/>
      <c r="G14" s="15"/>
      <c r="H14" s="5">
        <f>($A14*0.746*$K$6*($K$7/100))/(86.5/100)</f>
        <v>2069.826589595376</v>
      </c>
      <c r="I14" s="6">
        <f>($A14*0.746*$K$6*($K$7/100))/(89.5/100)</f>
        <v>2000.4469273743018</v>
      </c>
      <c r="J14" s="109">
        <f t="shared" si="0"/>
        <v>69.37966222107411</v>
      </c>
      <c r="K14" s="110"/>
      <c r="L14" s="33"/>
      <c r="M14" s="73">
        <f>($A14*0.746*$K$6*($K$7/100))/(82.4/100)</f>
        <v>2172.8155339805826</v>
      </c>
      <c r="N14" s="6">
        <f>($A14*0.746*$K$6*($K$7/100))/(89.5/100)</f>
        <v>2000.4469273743018</v>
      </c>
      <c r="O14" s="109">
        <f aca="true" t="shared" si="2" ref="O14:O29">M14-N14</f>
        <v>172.36860660628076</v>
      </c>
      <c r="P14" s="110"/>
    </row>
    <row r="15" spans="1:16" ht="12.75" customHeight="1" thickBot="1">
      <c r="A15" s="68">
        <v>5</v>
      </c>
      <c r="B15" s="14"/>
      <c r="C15" s="73">
        <f>($A15*0.746*$K$6*($K$7/100))/(83.8/100)</f>
        <v>3560.859188544153</v>
      </c>
      <c r="D15" s="5">
        <f>($A15*0.746*$K$6*($K$7/100))/(87.5/100)</f>
        <v>3410.285714285714</v>
      </c>
      <c r="E15" s="111">
        <f t="shared" si="1"/>
        <v>150.57347425843864</v>
      </c>
      <c r="F15" s="112"/>
      <c r="G15" s="15"/>
      <c r="H15" s="5">
        <f>($A15*0.746*$K$6*($K$7/100))/(87.5/100)</f>
        <v>3410.285714285714</v>
      </c>
      <c r="I15" s="6">
        <f>($A15*0.746*$K$6*($K$7/100))/(89.5/100)</f>
        <v>3334.0782122905025</v>
      </c>
      <c r="J15" s="109">
        <f t="shared" si="0"/>
        <v>76.20750199521171</v>
      </c>
      <c r="K15" s="110"/>
      <c r="L15" s="33"/>
      <c r="M15" s="73">
        <f>($A15*0.746*$K$6*($K$7/100))/(83.8/100)</f>
        <v>3560.859188544153</v>
      </c>
      <c r="N15" s="6">
        <f>($A15*0.746*$K$6*($K$7/100))/(89.5/100)</f>
        <v>3334.0782122905025</v>
      </c>
      <c r="O15" s="109">
        <f t="shared" si="2"/>
        <v>226.78097625365035</v>
      </c>
      <c r="P15" s="110"/>
    </row>
    <row r="16" spans="1:16" ht="12.75" customHeight="1" thickBot="1">
      <c r="A16" s="68">
        <v>7.5</v>
      </c>
      <c r="B16" s="14"/>
      <c r="C16" s="73">
        <f>($A16*0.746*$K$6*($K$7/100))/(85.2/100)</f>
        <v>5253.521126760564</v>
      </c>
      <c r="D16" s="5">
        <f>($A16*0.746*$K$6*($K$7/100))/(88.5/100)</f>
        <v>5057.627118644068</v>
      </c>
      <c r="E16" s="111">
        <f t="shared" si="1"/>
        <v>195.89400811649557</v>
      </c>
      <c r="F16" s="112"/>
      <c r="G16" s="15"/>
      <c r="H16" s="5">
        <f>($A16*0.746*$K$6*($K$7/100))/(88.5/100)</f>
        <v>5057.627118644068</v>
      </c>
      <c r="I16" s="6">
        <f>($A16*0.746*$K$6*($K$7/100))/(91/100)</f>
        <v>4918.681318681319</v>
      </c>
      <c r="J16" s="109">
        <f t="shared" si="0"/>
        <v>138.94579996274933</v>
      </c>
      <c r="K16" s="110"/>
      <c r="L16" s="33"/>
      <c r="M16" s="73">
        <f>($A16*0.746*$K$6*($K$7/100))/(85.2/100)</f>
        <v>5253.521126760564</v>
      </c>
      <c r="N16" s="6">
        <f>($A16*0.746*$K$6*($K$7/100))/(91/100)</f>
        <v>4918.681318681319</v>
      </c>
      <c r="O16" s="109">
        <f t="shared" si="2"/>
        <v>334.8398080792449</v>
      </c>
      <c r="P16" s="110"/>
    </row>
    <row r="17" spans="1:16" ht="12.75" customHeight="1" thickBot="1">
      <c r="A17" s="68">
        <v>10</v>
      </c>
      <c r="B17" s="14"/>
      <c r="C17" s="73">
        <f>($A17*0.746*$K$6*($K$7/100))/(86.1/100)</f>
        <v>6931.475029036004</v>
      </c>
      <c r="D17" s="5">
        <f>($A17*0.746*$K$6*($K$7/100))/(89.5/100)</f>
        <v>6668.156424581005</v>
      </c>
      <c r="E17" s="111">
        <f t="shared" si="1"/>
        <v>263.31860445499933</v>
      </c>
      <c r="F17" s="112"/>
      <c r="G17" s="15"/>
      <c r="H17" s="5">
        <f>($A17*0.746*$K$6*($K$7/100))/(89.5/100)</f>
        <v>6668.156424581005</v>
      </c>
      <c r="I17" s="6">
        <f>($A17*0.746*$K$6*($K$7/100))/(91.7/100)</f>
        <v>6508.178844056706</v>
      </c>
      <c r="J17" s="109">
        <f t="shared" si="0"/>
        <v>159.9775805242989</v>
      </c>
      <c r="K17" s="110"/>
      <c r="L17" s="33"/>
      <c r="M17" s="73">
        <f>($A17*0.746*$K$6*($K$7/100))/(86.1/100)</f>
        <v>6931.475029036004</v>
      </c>
      <c r="N17" s="6">
        <f>($A17*0.746*$K$6*($K$7/100))/(91.7/100)</f>
        <v>6508.178844056706</v>
      </c>
      <c r="O17" s="109">
        <f t="shared" si="2"/>
        <v>423.29618497929823</v>
      </c>
      <c r="P17" s="110"/>
    </row>
    <row r="18" spans="1:16" ht="12.75" customHeight="1" thickBot="1">
      <c r="A18" s="68">
        <v>15</v>
      </c>
      <c r="B18" s="14"/>
      <c r="C18" s="73">
        <f>($A18*0.746*$K$6*($K$7/100))/(87.8/100)</f>
        <v>10195.899772209566</v>
      </c>
      <c r="D18" s="5">
        <f>($A18*0.746*$K$6*($K$7/100))/(91/100)</f>
        <v>9837.362637362638</v>
      </c>
      <c r="E18" s="111">
        <f t="shared" si="1"/>
        <v>358.5371348469289</v>
      </c>
      <c r="F18" s="112"/>
      <c r="G18" s="15"/>
      <c r="H18" s="5">
        <f>($A18*0.746*$K$6*($K$7/100))/(91/100)</f>
        <v>9837.362637362638</v>
      </c>
      <c r="I18" s="6">
        <f>($A18*0.746*$K$6*($K$7/100))/(93/100)</f>
        <v>9625.806451612903</v>
      </c>
      <c r="J18" s="109">
        <f t="shared" si="0"/>
        <v>211.55618574973414</v>
      </c>
      <c r="K18" s="110"/>
      <c r="L18" s="33"/>
      <c r="M18" s="73">
        <f>($A18*0.746*$K$6*($K$7/100))/(87.8/100)</f>
        <v>10195.899772209566</v>
      </c>
      <c r="N18" s="6">
        <f>($A18*0.746*$K$6*($K$7/100))/(93/100)</f>
        <v>9625.806451612903</v>
      </c>
      <c r="O18" s="109">
        <f t="shared" si="2"/>
        <v>570.093320596663</v>
      </c>
      <c r="P18" s="110"/>
    </row>
    <row r="19" spans="1:16" ht="12.75" customHeight="1" thickBot="1">
      <c r="A19" s="68">
        <v>20</v>
      </c>
      <c r="B19" s="14"/>
      <c r="C19" s="73">
        <f>($A19*0.746*$K$6*($K$7/100))/(88.3/100)</f>
        <v>13517.553793884485</v>
      </c>
      <c r="D19" s="5">
        <f>($A19*0.746*$K$6*($K$7/100))/(91/100)</f>
        <v>13116.483516483517</v>
      </c>
      <c r="E19" s="111">
        <f t="shared" si="1"/>
        <v>401.0702774009678</v>
      </c>
      <c r="F19" s="112"/>
      <c r="G19" s="15"/>
      <c r="H19" s="5">
        <f>($A19*0.746*$K$6*($K$7/100))/(91/100)</f>
        <v>13116.483516483517</v>
      </c>
      <c r="I19" s="6">
        <f>($A19*0.746*$K$6*($K$7/100))/(93/100)</f>
        <v>12834.408602150537</v>
      </c>
      <c r="J19" s="109">
        <f t="shared" si="0"/>
        <v>282.07491433297946</v>
      </c>
      <c r="K19" s="110"/>
      <c r="L19" s="33"/>
      <c r="M19" s="73">
        <f>($A19*0.746*$K$6*($K$7/100))/(88.3/100)</f>
        <v>13517.553793884485</v>
      </c>
      <c r="N19" s="6">
        <f>($A19*0.746*$K$6*($K$7/100))/(93/100)</f>
        <v>12834.408602150537</v>
      </c>
      <c r="O19" s="109">
        <f t="shared" si="2"/>
        <v>683.1451917339473</v>
      </c>
      <c r="P19" s="110"/>
    </row>
    <row r="20" spans="1:16" ht="12.75" customHeight="1" thickBot="1">
      <c r="A20" s="68">
        <v>25</v>
      </c>
      <c r="B20" s="14"/>
      <c r="C20" s="73">
        <f>($A20*0.746*$K$6*($K$7/100))/(88.9/100)</f>
        <v>16782.902137232846</v>
      </c>
      <c r="D20" s="5">
        <f>($A20*0.746*$K$6*($K$7/100))/(91.7/100)</f>
        <v>16270.447110141766</v>
      </c>
      <c r="E20" s="111">
        <f t="shared" si="1"/>
        <v>512.4550270910804</v>
      </c>
      <c r="F20" s="112"/>
      <c r="G20" s="15"/>
      <c r="H20" s="5">
        <f>($A20*0.746*$K$6*($K$7/100))/(91.7/100)</f>
        <v>16270.447110141766</v>
      </c>
      <c r="I20" s="6">
        <f>($A20*0.746*$K$6*($K$7/100))/(93.6/100)</f>
        <v>15940.170940170941</v>
      </c>
      <c r="J20" s="109">
        <f t="shared" si="0"/>
        <v>330.2761699708244</v>
      </c>
      <c r="K20" s="110"/>
      <c r="L20" s="33"/>
      <c r="M20" s="73">
        <f>($A20*0.746*$K$6*($K$7/100))/(88.9/100)</f>
        <v>16782.902137232846</v>
      </c>
      <c r="N20" s="6">
        <f>($A20*0.746*$K$6*($K$7/100))/(93.6/100)</f>
        <v>15940.170940170941</v>
      </c>
      <c r="O20" s="109">
        <f t="shared" si="2"/>
        <v>842.7311970619048</v>
      </c>
      <c r="P20" s="110"/>
    </row>
    <row r="21" spans="1:16" ht="12.75" customHeight="1" thickBot="1">
      <c r="A21" s="68">
        <v>30</v>
      </c>
      <c r="B21" s="14"/>
      <c r="C21" s="73">
        <f>($A21*0.746*$K$6*($K$7/100))/(88.9/100)</f>
        <v>20139.482564679416</v>
      </c>
      <c r="D21" s="5">
        <f>($A21*0.746*$K$6*($K$7/100))/(92.4/100)</f>
        <v>19376.623376623374</v>
      </c>
      <c r="E21" s="111">
        <f t="shared" si="1"/>
        <v>762.8591880560416</v>
      </c>
      <c r="F21" s="112"/>
      <c r="G21" s="15"/>
      <c r="H21" s="5">
        <f>($A21*0.746*$K$6*($K$7/100))/(92.4/100)</f>
        <v>19376.623376623374</v>
      </c>
      <c r="I21" s="6">
        <f>($A21*0.746*$K$6*($K$7/100))/(94.1/100)</f>
        <v>19026.567481402762</v>
      </c>
      <c r="J21" s="109">
        <f t="shared" si="0"/>
        <v>350.055895220612</v>
      </c>
      <c r="K21" s="110"/>
      <c r="L21" s="33"/>
      <c r="M21" s="73">
        <f>($A21*0.746*$K$6*($K$7/100))/(88.9/100)</f>
        <v>20139.482564679416</v>
      </c>
      <c r="N21" s="6">
        <f>($A21*0.746*$K$6*($K$7/100))/(94.1/100)</f>
        <v>19026.567481402762</v>
      </c>
      <c r="O21" s="109">
        <f t="shared" si="2"/>
        <v>1112.9150832766536</v>
      </c>
      <c r="P21" s="110"/>
    </row>
    <row r="22" spans="1:16" ht="12.75" customHeight="1" thickBot="1">
      <c r="A22" s="68">
        <v>40</v>
      </c>
      <c r="B22" s="14"/>
      <c r="C22" s="73">
        <f>($A22*0.746*$K$6*($K$7/100))/(90/100)</f>
        <v>26524.444444444445</v>
      </c>
      <c r="D22" s="5">
        <f>($A22*0.746*$K$6*($K$7/100))/(93/100)</f>
        <v>25668.817204301075</v>
      </c>
      <c r="E22" s="111">
        <f t="shared" si="1"/>
        <v>855.6272401433707</v>
      </c>
      <c r="F22" s="112"/>
      <c r="G22" s="15"/>
      <c r="H22" s="5">
        <f>($A22*0.746*$K$6*($K$7/100))/(93/100)</f>
        <v>25668.817204301075</v>
      </c>
      <c r="I22" s="6">
        <f>($A22*0.746*$K$6*($K$7/100))/(94.1/100)</f>
        <v>25368.756641870354</v>
      </c>
      <c r="J22" s="109">
        <f t="shared" si="0"/>
        <v>300.0605624307209</v>
      </c>
      <c r="K22" s="110"/>
      <c r="L22" s="33"/>
      <c r="M22" s="73">
        <f>($A22*0.746*$K$6*($K$7/100))/(90/100)</f>
        <v>26524.444444444445</v>
      </c>
      <c r="N22" s="6">
        <f>($A22*0.746*$K$6*($K$7/100))/(94.1/100)</f>
        <v>25368.756641870354</v>
      </c>
      <c r="O22" s="109">
        <f t="shared" si="2"/>
        <v>1155.6878025740916</v>
      </c>
      <c r="P22" s="110"/>
    </row>
    <row r="23" spans="1:16" ht="12.75" customHeight="1" thickBot="1">
      <c r="A23" s="68">
        <v>50</v>
      </c>
      <c r="B23" s="14"/>
      <c r="C23" s="73">
        <f>($A23*0.746*$K$6*($K$7/100))/(90.7/100)</f>
        <v>32899.669239250274</v>
      </c>
      <c r="D23" s="5">
        <f>($A23*0.746*$K$6*($K$7/100))/(93/100)</f>
        <v>32086.021505376342</v>
      </c>
      <c r="E23" s="111">
        <f t="shared" si="1"/>
        <v>813.6477338739314</v>
      </c>
      <c r="F23" s="112"/>
      <c r="G23" s="15"/>
      <c r="H23" s="5">
        <f>($A23*0.746*$K$6*($K$7/100))/(93/100)</f>
        <v>32086.021505376342</v>
      </c>
      <c r="I23" s="6">
        <f>($A23*0.746*$K$6*($K$7/100))/(94.5/100)</f>
        <v>31576.719576719577</v>
      </c>
      <c r="J23" s="109">
        <f t="shared" si="0"/>
        <v>509.3019286567651</v>
      </c>
      <c r="K23" s="110"/>
      <c r="L23" s="33"/>
      <c r="M23" s="73">
        <f>($A23*0.746*$K$6*($K$7/100))/(90.7/100)</f>
        <v>32899.669239250274</v>
      </c>
      <c r="N23" s="6">
        <f>($A23*0.746*$K$6*($K$7/100))/(94.5/100)</f>
        <v>31576.719576719577</v>
      </c>
      <c r="O23" s="109">
        <f t="shared" si="2"/>
        <v>1322.9496625306965</v>
      </c>
      <c r="P23" s="110"/>
    </row>
    <row r="24" spans="1:16" ht="12.75" customHeight="1" thickBot="1">
      <c r="A24" s="68">
        <v>60</v>
      </c>
      <c r="B24" s="14"/>
      <c r="C24" s="73">
        <f>($A24*0.746*$K$6*($K$7/100))/(91.3/100)</f>
        <v>39220.15334063527</v>
      </c>
      <c r="D24" s="5">
        <f>($A24*0.746*$K$6*($K$7/100))/(93.6/100)</f>
        <v>38256.41025641026</v>
      </c>
      <c r="E24" s="111">
        <f t="shared" si="1"/>
        <v>963.7430842250105</v>
      </c>
      <c r="F24" s="112"/>
      <c r="G24" s="15"/>
      <c r="H24" s="5">
        <f>($A24*0.746*$K$6*($K$7/100))/(93.6/100)</f>
        <v>38256.41025641026</v>
      </c>
      <c r="I24" s="6">
        <f>($A24*0.746*$K$6*($K$7/100))/(95/100)</f>
        <v>37692.631578947374</v>
      </c>
      <c r="J24" s="109">
        <f t="shared" si="0"/>
        <v>563.7786774628839</v>
      </c>
      <c r="K24" s="110"/>
      <c r="L24" s="33"/>
      <c r="M24" s="73">
        <f>($A24*0.746*$K$6*($K$7/100))/(91.3/100)</f>
        <v>39220.15334063527</v>
      </c>
      <c r="N24" s="6">
        <f>($A24*0.746*$K$6*($K$7/100))/(95/100)</f>
        <v>37692.631578947374</v>
      </c>
      <c r="O24" s="109">
        <f t="shared" si="2"/>
        <v>1527.5217616878945</v>
      </c>
      <c r="P24" s="110"/>
    </row>
    <row r="25" spans="1:16" ht="12.75" customHeight="1" thickBot="1">
      <c r="A25" s="68">
        <v>75</v>
      </c>
      <c r="B25" s="14"/>
      <c r="C25" s="73">
        <f>($A25*0.746*$K$6*($K$7/100))/(91.9/100)</f>
        <v>48705.11425462459</v>
      </c>
      <c r="D25" s="5">
        <f>($A25*0.746*$K$6*($K$7/100))/(94.1/100)</f>
        <v>47566.41870350691</v>
      </c>
      <c r="E25" s="111">
        <f t="shared" si="1"/>
        <v>1138.6955511176784</v>
      </c>
      <c r="F25" s="112"/>
      <c r="G25" s="15"/>
      <c r="H25" s="5">
        <f>($A25*0.746*$K$6*($K$7/100))/(94.1/100)</f>
        <v>47566.41870350691</v>
      </c>
      <c r="I25" s="6">
        <f>($A25*0.746*$K$6*($K$7/100))/(95/100)</f>
        <v>47115.78947368421</v>
      </c>
      <c r="J25" s="109">
        <f t="shared" si="0"/>
        <v>450.6292298226981</v>
      </c>
      <c r="K25" s="110"/>
      <c r="L25" s="33"/>
      <c r="M25" s="73">
        <f>($A25*0.746*$K$6*($K$7/100))/(91.9/100)</f>
        <v>48705.11425462459</v>
      </c>
      <c r="N25" s="6">
        <f>($A25*0.746*$K$6*($K$7/100))/(95/100)</f>
        <v>47115.78947368421</v>
      </c>
      <c r="O25" s="109">
        <f t="shared" si="2"/>
        <v>1589.3247809403765</v>
      </c>
      <c r="P25" s="110"/>
    </row>
    <row r="26" spans="1:16" ht="12.75" customHeight="1" thickBot="1">
      <c r="A26" s="68">
        <v>100</v>
      </c>
      <c r="B26" s="14"/>
      <c r="C26" s="73">
        <f>($A26*0.746*$K$6*($K$7/100))/(92.1/100)</f>
        <v>64799.13137893594</v>
      </c>
      <c r="D26" s="5">
        <f>($A26*0.746*$K$6*($K$7/100))/(94.1/100)</f>
        <v>63421.89160467588</v>
      </c>
      <c r="E26" s="111">
        <f t="shared" si="1"/>
        <v>1377.2397742600588</v>
      </c>
      <c r="F26" s="112"/>
      <c r="G26" s="15"/>
      <c r="H26" s="5">
        <f>($A26*0.746*$K$6*($K$7/100))/(94.1/100)</f>
        <v>63421.89160467588</v>
      </c>
      <c r="I26" s="6">
        <f>($A26*0.746*$K$6*($K$7/100))/(95.4/100)</f>
        <v>62557.65199161425</v>
      </c>
      <c r="J26" s="109">
        <f t="shared" si="0"/>
        <v>864.2396130616326</v>
      </c>
      <c r="K26" s="110"/>
      <c r="L26" s="33"/>
      <c r="M26" s="73">
        <f>($A26*0.746*$K$6*($K$7/100))/(92.1/100)</f>
        <v>64799.13137893594</v>
      </c>
      <c r="N26" s="6">
        <f>($A26*0.746*$K$6*($K$7/100))/(95.4/100)</f>
        <v>62557.65199161425</v>
      </c>
      <c r="O26" s="109">
        <f t="shared" si="2"/>
        <v>2241.4793873216913</v>
      </c>
      <c r="P26" s="110"/>
    </row>
    <row r="27" spans="1:16" ht="12.75" customHeight="1" thickBot="1">
      <c r="A27" s="68">
        <v>125</v>
      </c>
      <c r="B27" s="14"/>
      <c r="C27" s="73">
        <f>($A27*0.746*$K$6*($K$7/100))/(92.2/100)</f>
        <v>80911.0629067245</v>
      </c>
      <c r="D27" s="5">
        <f>($A27*0.746*$K$6*($K$7/100))/(94.5/100)</f>
        <v>78941.79894179894</v>
      </c>
      <c r="E27" s="111">
        <f t="shared" si="1"/>
        <v>1969.263964925558</v>
      </c>
      <c r="F27" s="112"/>
      <c r="G27" s="15"/>
      <c r="H27" s="5">
        <f>($A27*0.746*$K$6*($K$7/100))/(94.5/100)</f>
        <v>78941.79894179894</v>
      </c>
      <c r="I27" s="6">
        <f>($A27*0.746*$K$6*($K$7/100))/(95.4/100)</f>
        <v>78197.06498951782</v>
      </c>
      <c r="J27" s="109">
        <f t="shared" si="0"/>
        <v>744.7339522811235</v>
      </c>
      <c r="K27" s="110"/>
      <c r="L27" s="33"/>
      <c r="M27" s="73">
        <f>($A27*0.746*$K$6*($K$7/100))/(92.2/100)</f>
        <v>80911.0629067245</v>
      </c>
      <c r="N27" s="6">
        <f>($A27*0.746*$K$6*($K$7/100))/(95.4/100)</f>
        <v>78197.06498951782</v>
      </c>
      <c r="O27" s="109">
        <f t="shared" si="2"/>
        <v>2713.9979172066814</v>
      </c>
      <c r="P27" s="110"/>
    </row>
    <row r="28" spans="1:16" ht="12.75" customHeight="1" thickBot="1">
      <c r="A28" s="68">
        <v>150</v>
      </c>
      <c r="B28" s="14"/>
      <c r="C28" s="73">
        <f>($A28*0.746*$K$6*($K$7/100))/(92.8/100)</f>
        <v>96465.51724137932</v>
      </c>
      <c r="D28" s="5">
        <f>($A28*0.746*$K$6*($K$7/100))/(95/100)</f>
        <v>94231.57894736843</v>
      </c>
      <c r="E28" s="111">
        <f t="shared" si="1"/>
        <v>2233.9382940108917</v>
      </c>
      <c r="F28" s="112"/>
      <c r="G28" s="15"/>
      <c r="H28" s="5">
        <f>($A28*0.746*$K$6*($K$7/100))/(95/100)</f>
        <v>94231.57894736843</v>
      </c>
      <c r="I28" s="6">
        <f>($A28*0.746*$K$6*($K$7/100))/(95.8/100)</f>
        <v>93444.6764091858</v>
      </c>
      <c r="J28" s="109">
        <f t="shared" si="0"/>
        <v>786.9025381826214</v>
      </c>
      <c r="K28" s="110"/>
      <c r="L28" s="33"/>
      <c r="M28" s="73">
        <f>($A28*0.746*$K$6*($K$7/100))/(92.8/100)</f>
        <v>96465.51724137932</v>
      </c>
      <c r="N28" s="6">
        <f>($A28*0.746*$K$6*($K$7/100))/(95.8/100)</f>
        <v>93444.6764091858</v>
      </c>
      <c r="O28" s="109">
        <f t="shared" si="2"/>
        <v>3020.840832193513</v>
      </c>
      <c r="P28" s="110"/>
    </row>
    <row r="29" spans="1:16" ht="12.75" customHeight="1" thickBot="1">
      <c r="A29" s="69">
        <v>200</v>
      </c>
      <c r="B29" s="14"/>
      <c r="C29" s="74">
        <f>($A29*0.746*$K$6*($K$7/100))/(93/100)</f>
        <v>128344.08602150537</v>
      </c>
      <c r="D29" s="7">
        <f>($A29*0.746*$K$6*($K$7/100))/(95/100)</f>
        <v>125642.10526315791</v>
      </c>
      <c r="E29" s="119">
        <f t="shared" si="1"/>
        <v>2701.9807583474612</v>
      </c>
      <c r="F29" s="120"/>
      <c r="G29" s="15"/>
      <c r="H29" s="7">
        <f>($A29*0.746*$K$6*($K$7/100))/(95/100)</f>
        <v>125642.10526315791</v>
      </c>
      <c r="I29" s="75">
        <f>($A29*0.746*$K$6*($K$7/100))/(95.8/100)</f>
        <v>124592.9018789144</v>
      </c>
      <c r="J29" s="122">
        <f t="shared" si="0"/>
        <v>1049.2033842435048</v>
      </c>
      <c r="K29" s="123"/>
      <c r="L29" s="33"/>
      <c r="M29" s="74">
        <f>($A29*0.746*$K$6*($K$7/100))/(93/100)</f>
        <v>128344.08602150537</v>
      </c>
      <c r="N29" s="75">
        <f>($A29*0.746*$K$6*($K$7/100))/(95.8/100)</f>
        <v>124592.9018789144</v>
      </c>
      <c r="O29" s="122">
        <f t="shared" si="2"/>
        <v>3751.184142590966</v>
      </c>
      <c r="P29" s="123"/>
    </row>
    <row r="30" spans="3:16" ht="7.5" customHeight="1" thickBot="1" thickTop="1">
      <c r="C30" s="35"/>
      <c r="D30" s="17"/>
      <c r="E30" s="18"/>
      <c r="F30" s="18"/>
      <c r="G30" s="16"/>
      <c r="H30" s="17"/>
      <c r="I30" s="18"/>
      <c r="J30" s="18"/>
      <c r="K30" s="18"/>
      <c r="M30" s="17"/>
      <c r="N30" s="18"/>
      <c r="O30" s="18"/>
      <c r="P30" s="18"/>
    </row>
    <row r="31" spans="1:16" ht="27" customHeight="1" thickBot="1" thickTop="1">
      <c r="A31" s="71" t="s">
        <v>28</v>
      </c>
      <c r="B31" s="12"/>
      <c r="C31" s="77" t="s">
        <v>12</v>
      </c>
      <c r="D31" s="21" t="s">
        <v>13</v>
      </c>
      <c r="E31" s="121" t="s">
        <v>6</v>
      </c>
      <c r="F31" s="114"/>
      <c r="G31" s="20"/>
      <c r="H31" s="78" t="s">
        <v>13</v>
      </c>
      <c r="I31" s="79" t="s">
        <v>14</v>
      </c>
      <c r="J31" s="121" t="s">
        <v>7</v>
      </c>
      <c r="K31" s="114"/>
      <c r="L31" s="33"/>
      <c r="M31" s="78" t="s">
        <v>12</v>
      </c>
      <c r="N31" s="79" t="s">
        <v>11</v>
      </c>
      <c r="O31" s="121" t="s">
        <v>7</v>
      </c>
      <c r="P31" s="114"/>
    </row>
    <row r="32" spans="1:16" ht="15" customHeight="1" thickBot="1" thickTop="1">
      <c r="A32" s="70">
        <v>250</v>
      </c>
      <c r="B32" s="19"/>
      <c r="C32" s="72">
        <f>($A32*0.746*$K$6*($K$7/100))/(94.4/100)</f>
        <v>158050.8474576271</v>
      </c>
      <c r="D32" s="34">
        <f>($A32*0.746*$K$6*($K$7/100))/(95.4/100)</f>
        <v>156394.12997903564</v>
      </c>
      <c r="E32" s="111">
        <f aca="true" t="shared" si="3" ref="E32:E37">C32-D32</f>
        <v>1656.717478591454</v>
      </c>
      <c r="F32" s="112"/>
      <c r="G32" s="23"/>
      <c r="H32" s="34">
        <f>($A32*0.746*$K$6*($K$7/100))/(95.4/100)</f>
        <v>156394.12997903564</v>
      </c>
      <c r="I32" s="22">
        <f>($A32*0.746*$K$6*($K$7/100))/(95.8/100)</f>
        <v>155741.127348643</v>
      </c>
      <c r="J32" s="109">
        <f aca="true" t="shared" si="4" ref="J32:J37">H32-I32</f>
        <v>653.0026303926425</v>
      </c>
      <c r="K32" s="110"/>
      <c r="L32" s="33"/>
      <c r="M32" s="72">
        <f>($A32*0.746*$K$6*($K$7/100))/(94.4/100)</f>
        <v>158050.8474576271</v>
      </c>
      <c r="N32" s="22">
        <f>($A32*0.746*$K$6*($K$7/100))/(95.8/100)</f>
        <v>155741.127348643</v>
      </c>
      <c r="O32" s="109">
        <f aca="true" t="shared" si="5" ref="O32:O37">M32-N32</f>
        <v>2309.7201089840964</v>
      </c>
      <c r="P32" s="110"/>
    </row>
    <row r="33" spans="1:16" ht="15" customHeight="1" thickBot="1">
      <c r="A33" s="68">
        <v>300</v>
      </c>
      <c r="B33" s="13"/>
      <c r="C33" s="73">
        <f>($A33*0.746*$K$6*($K$7/100))/(94.6/100)</f>
        <v>189260.0422832981</v>
      </c>
      <c r="D33" s="6">
        <f>($A33*0.746*$K$6*($K$7/100))/(95.4/100)</f>
        <v>187672.95597484274</v>
      </c>
      <c r="E33" s="111">
        <f t="shared" si="3"/>
        <v>1587.0863084553566</v>
      </c>
      <c r="F33" s="112"/>
      <c r="G33" s="24"/>
      <c r="H33" s="6">
        <f>($A33*0.746*$K$6*($K$7/100))/(95.4/100)</f>
        <v>187672.95597484274</v>
      </c>
      <c r="I33" s="6">
        <f>($A33*0.746*$K$6*($K$7/100))/(95.8/100)</f>
        <v>186889.3528183716</v>
      </c>
      <c r="J33" s="109">
        <f t="shared" si="4"/>
        <v>783.6031564711302</v>
      </c>
      <c r="K33" s="110"/>
      <c r="L33" s="33"/>
      <c r="M33" s="73">
        <f>($A33*0.746*$K$6*($K$7/100))/(94.6/100)</f>
        <v>189260.0422832981</v>
      </c>
      <c r="N33" s="6">
        <f>($A33*0.746*$K$6*($K$7/100))/(95.8/100)</f>
        <v>186889.3528183716</v>
      </c>
      <c r="O33" s="109">
        <f t="shared" si="5"/>
        <v>2370.689464926487</v>
      </c>
      <c r="P33" s="110"/>
    </row>
    <row r="34" spans="1:16" ht="12.75" customHeight="1" thickBot="1">
      <c r="A34" s="68">
        <v>350</v>
      </c>
      <c r="B34" s="13"/>
      <c r="C34" s="73">
        <f>($A34*0.746*$K$6*($K$7/100))/(94.1/100)</f>
        <v>221976.6206163656</v>
      </c>
      <c r="D34" s="6">
        <f>($A34*0.746*$K$6*($K$7/100))/(95.4/100)</f>
        <v>218951.7819706499</v>
      </c>
      <c r="E34" s="111">
        <f t="shared" si="3"/>
        <v>3024.838645715703</v>
      </c>
      <c r="F34" s="112"/>
      <c r="G34" s="24"/>
      <c r="H34" s="6">
        <f>($A34*0.746*$K$6*($K$7/100))/(95.4/100)</f>
        <v>218951.7819706499</v>
      </c>
      <c r="I34" s="6">
        <f>($A34*0.746*$K$6*($K$7/100))/(95.8/100)</f>
        <v>218037.57828810025</v>
      </c>
      <c r="J34" s="109">
        <f t="shared" si="4"/>
        <v>914.203682549647</v>
      </c>
      <c r="K34" s="110"/>
      <c r="L34" s="33"/>
      <c r="M34" s="73">
        <f>($A34*0.746*$K$6*($K$7/100))/(94.1/100)</f>
        <v>221976.6206163656</v>
      </c>
      <c r="N34" s="6">
        <f>($A34*0.746*$K$6*($K$7/100))/(95.8/100)</f>
        <v>218037.57828810025</v>
      </c>
      <c r="O34" s="109">
        <f t="shared" si="5"/>
        <v>3939.04232826535</v>
      </c>
      <c r="P34" s="110"/>
    </row>
    <row r="35" spans="1:16" ht="15" customHeight="1" thickBot="1">
      <c r="A35" s="68">
        <v>400</v>
      </c>
      <c r="B35" s="13"/>
      <c r="C35" s="73">
        <f>($A35*0.746*$K$6*($K$7/100))/(94.7/100)</f>
        <v>252080.25343189016</v>
      </c>
      <c r="D35" s="5">
        <f>($A35*0.746*$K$6*($K$7/100))/(95.4/100)</f>
        <v>250230.607966457</v>
      </c>
      <c r="E35" s="111">
        <f t="shared" si="3"/>
        <v>1849.645465433161</v>
      </c>
      <c r="F35" s="112"/>
      <c r="G35" s="24"/>
      <c r="H35" s="5">
        <f>($A35*0.746*$K$6*($K$7/100))/(95.4/100)</f>
        <v>250230.607966457</v>
      </c>
      <c r="I35" s="6">
        <f>($A35*0.746*$K$6*($K$7/100))/(95.8/100)</f>
        <v>249185.8037578288</v>
      </c>
      <c r="J35" s="109">
        <f t="shared" si="4"/>
        <v>1044.804208628193</v>
      </c>
      <c r="K35" s="110"/>
      <c r="L35" s="33"/>
      <c r="M35" s="73">
        <f>($A35*0.746*$K$6*($K$7/100))/(94.7/100)</f>
        <v>252080.25343189016</v>
      </c>
      <c r="N35" s="6">
        <f>($A35*0.746*$K$6*($K$7/100))/(95.8/100)</f>
        <v>249185.8037578288</v>
      </c>
      <c r="O35" s="109">
        <f t="shared" si="5"/>
        <v>2894.449674061354</v>
      </c>
      <c r="P35" s="110"/>
    </row>
    <row r="36" spans="1:16" ht="15" customHeight="1" thickBot="1">
      <c r="A36" s="68">
        <v>450</v>
      </c>
      <c r="B36" s="13"/>
      <c r="C36" s="73">
        <f>($A36*0.746*$K$6*($K$7/100))/(95/100)</f>
        <v>282694.7368421053</v>
      </c>
      <c r="D36" s="6">
        <f>($A36*0.746*$K$6*($K$7/100))/(95.8/100)</f>
        <v>280334.0292275574</v>
      </c>
      <c r="E36" s="111">
        <f t="shared" si="3"/>
        <v>2360.707614547864</v>
      </c>
      <c r="F36" s="112"/>
      <c r="G36" s="24"/>
      <c r="H36" s="6">
        <f>($A36*0.746*$K$6*($K$7/100))/(95.8/100)</f>
        <v>280334.0292275574</v>
      </c>
      <c r="I36" s="6">
        <f>($A36*0.746*$K$6*($K$7/100))/(96.2/100)</f>
        <v>279168.39916839916</v>
      </c>
      <c r="J36" s="109">
        <f t="shared" si="4"/>
        <v>1165.6300591582549</v>
      </c>
      <c r="K36" s="110"/>
      <c r="L36" s="33"/>
      <c r="M36" s="73">
        <f>($A36*0.746*$K$6*($K$7/100))/(95/100)</f>
        <v>282694.7368421053</v>
      </c>
      <c r="N36" s="6">
        <f>($A36*0.746*$K$6*($K$7/100))/(96.2/100)</f>
        <v>279168.39916839916</v>
      </c>
      <c r="O36" s="109">
        <f t="shared" si="5"/>
        <v>3526.337673706119</v>
      </c>
      <c r="P36" s="110"/>
    </row>
    <row r="37" spans="1:16" ht="15" customHeight="1" thickBot="1">
      <c r="A37" s="69">
        <v>500</v>
      </c>
      <c r="B37" s="13"/>
      <c r="C37" s="76">
        <f>($A37*0.746*$K$6*($K$7/100))/(95/100)</f>
        <v>314105.2631578948</v>
      </c>
      <c r="D37" s="75">
        <f>($A37*0.746*$K$6*($K$7/100))/(95.8/100)</f>
        <v>311482.254697286</v>
      </c>
      <c r="E37" s="119">
        <f t="shared" si="3"/>
        <v>2623.0084606087767</v>
      </c>
      <c r="F37" s="120"/>
      <c r="G37" s="24"/>
      <c r="H37" s="75">
        <f>($A37*0.746*$K$6*($K$7/100))/(95.8/100)</f>
        <v>311482.254697286</v>
      </c>
      <c r="I37" s="25">
        <f>($A37*0.746*$K$6*($K$7/100))/(96.2/100)</f>
        <v>310187.11018711014</v>
      </c>
      <c r="J37" s="122">
        <f t="shared" si="4"/>
        <v>1295.1445101758582</v>
      </c>
      <c r="K37" s="123"/>
      <c r="L37" s="33"/>
      <c r="M37" s="76">
        <f>($A37*0.746*$K$6*($K$7/100))/(95/100)</f>
        <v>314105.2631578948</v>
      </c>
      <c r="N37" s="25">
        <f>($A37*0.746*$K$6*($K$7/100))/(96.2/100)</f>
        <v>310187.11018711014</v>
      </c>
      <c r="O37" s="122">
        <f t="shared" si="5"/>
        <v>3918.152970784635</v>
      </c>
      <c r="P37" s="123"/>
    </row>
    <row r="38" spans="1:11" ht="7.5" customHeight="1" thickTop="1">
      <c r="A38" s="64"/>
      <c r="B38" s="20"/>
      <c r="C38" s="18"/>
      <c r="D38" s="18"/>
      <c r="E38" s="65"/>
      <c r="F38" s="65"/>
      <c r="G38" s="24"/>
      <c r="H38" s="18"/>
      <c r="I38" s="18"/>
      <c r="J38" s="65"/>
      <c r="K38" s="65"/>
    </row>
    <row r="39" spans="1:16" s="63" customFormat="1" ht="12" customHeight="1">
      <c r="A39" s="133" t="s">
        <v>29</v>
      </c>
      <c r="B39" s="133"/>
      <c r="C39" s="133"/>
      <c r="D39" s="133"/>
      <c r="E39" s="133"/>
      <c r="F39" s="133"/>
      <c r="G39" s="133"/>
      <c r="H39" s="133"/>
      <c r="I39" s="133"/>
      <c r="J39" s="133"/>
      <c r="K39" s="133"/>
      <c r="L39" s="133"/>
      <c r="M39" s="133"/>
      <c r="N39" s="133"/>
      <c r="O39" s="133"/>
      <c r="P39" s="133"/>
    </row>
    <row r="40" spans="1:16" ht="24" customHeight="1">
      <c r="A40" s="133" t="s">
        <v>30</v>
      </c>
      <c r="B40" s="133"/>
      <c r="C40" s="133"/>
      <c r="D40" s="133"/>
      <c r="E40" s="133"/>
      <c r="F40" s="133"/>
      <c r="G40" s="133"/>
      <c r="H40" s="133"/>
      <c r="I40" s="133"/>
      <c r="J40" s="133"/>
      <c r="K40" s="133"/>
      <c r="L40" s="133"/>
      <c r="M40" s="133"/>
      <c r="N40" s="133"/>
      <c r="O40" s="133"/>
      <c r="P40" s="133"/>
    </row>
    <row r="41" spans="1:16" ht="24" customHeight="1">
      <c r="A41" s="134" t="s">
        <v>31</v>
      </c>
      <c r="B41" s="135"/>
      <c r="C41" s="135"/>
      <c r="D41" s="135"/>
      <c r="E41" s="135"/>
      <c r="F41" s="135"/>
      <c r="G41" s="135"/>
      <c r="H41" s="135"/>
      <c r="I41" s="135"/>
      <c r="J41" s="135"/>
      <c r="K41" s="135"/>
      <c r="L41" s="135"/>
      <c r="M41" s="135"/>
      <c r="N41" s="135"/>
      <c r="O41" s="135"/>
      <c r="P41" s="135"/>
    </row>
    <row r="42" spans="1:16" ht="12" customHeight="1">
      <c r="A42" s="135"/>
      <c r="B42" s="135"/>
      <c r="C42" s="135"/>
      <c r="D42" s="135"/>
      <c r="E42" s="135"/>
      <c r="F42" s="135"/>
      <c r="G42" s="135"/>
      <c r="H42" s="135"/>
      <c r="I42" s="135"/>
      <c r="J42" s="135"/>
      <c r="K42" s="135"/>
      <c r="L42" s="135"/>
      <c r="M42" s="135"/>
      <c r="N42" s="135"/>
      <c r="O42" s="135"/>
      <c r="P42" s="135"/>
    </row>
    <row r="47" ht="12.75">
      <c r="K47" s="39"/>
    </row>
  </sheetData>
  <mergeCells count="96">
    <mergeCell ref="A39:P39"/>
    <mergeCell ref="A40:P40"/>
    <mergeCell ref="A41:P42"/>
    <mergeCell ref="E36:F36"/>
    <mergeCell ref="J36:K36"/>
    <mergeCell ref="O36:P36"/>
    <mergeCell ref="E37:F37"/>
    <mergeCell ref="J37:K37"/>
    <mergeCell ref="O37:P37"/>
    <mergeCell ref="E34:F34"/>
    <mergeCell ref="J34:K34"/>
    <mergeCell ref="O34:P34"/>
    <mergeCell ref="E35:F35"/>
    <mergeCell ref="J35:K35"/>
    <mergeCell ref="O35:P35"/>
    <mergeCell ref="E32:F32"/>
    <mergeCell ref="J32:K32"/>
    <mergeCell ref="O32:P32"/>
    <mergeCell ref="E33:F33"/>
    <mergeCell ref="J33:K33"/>
    <mergeCell ref="O33:P33"/>
    <mergeCell ref="E29:F29"/>
    <mergeCell ref="J29:K29"/>
    <mergeCell ref="O29:P29"/>
    <mergeCell ref="E31:F31"/>
    <mergeCell ref="J31:K31"/>
    <mergeCell ref="O31:P31"/>
    <mergeCell ref="E27:F27"/>
    <mergeCell ref="J27:K27"/>
    <mergeCell ref="O27:P27"/>
    <mergeCell ref="E28:F28"/>
    <mergeCell ref="J28:K28"/>
    <mergeCell ref="O28:P28"/>
    <mergeCell ref="E25:F25"/>
    <mergeCell ref="J25:K25"/>
    <mergeCell ref="O25:P25"/>
    <mergeCell ref="E26:F26"/>
    <mergeCell ref="J26:K26"/>
    <mergeCell ref="O26:P26"/>
    <mergeCell ref="E23:F23"/>
    <mergeCell ref="J23:K23"/>
    <mergeCell ref="O23:P23"/>
    <mergeCell ref="E24:F24"/>
    <mergeCell ref="J24:K24"/>
    <mergeCell ref="O24:P24"/>
    <mergeCell ref="E21:F21"/>
    <mergeCell ref="J21:K21"/>
    <mergeCell ref="O21:P21"/>
    <mergeCell ref="E22:F22"/>
    <mergeCell ref="J22:K22"/>
    <mergeCell ref="O22:P22"/>
    <mergeCell ref="E19:F19"/>
    <mergeCell ref="J19:K19"/>
    <mergeCell ref="O19:P19"/>
    <mergeCell ref="E20:F20"/>
    <mergeCell ref="J20:K20"/>
    <mergeCell ref="O20:P20"/>
    <mergeCell ref="E17:F17"/>
    <mergeCell ref="J17:K17"/>
    <mergeCell ref="O17:P17"/>
    <mergeCell ref="E18:F18"/>
    <mergeCell ref="J18:K18"/>
    <mergeCell ref="O18:P18"/>
    <mergeCell ref="E15:F15"/>
    <mergeCell ref="J15:K15"/>
    <mergeCell ref="O15:P15"/>
    <mergeCell ref="E16:F16"/>
    <mergeCell ref="J16:K16"/>
    <mergeCell ref="O16:P16"/>
    <mergeCell ref="E13:F13"/>
    <mergeCell ref="J13:K13"/>
    <mergeCell ref="O13:P13"/>
    <mergeCell ref="E14:F14"/>
    <mergeCell ref="J14:K14"/>
    <mergeCell ref="O14:P14"/>
    <mergeCell ref="E11:F11"/>
    <mergeCell ref="J11:K11"/>
    <mergeCell ref="O11:P11"/>
    <mergeCell ref="E12:F12"/>
    <mergeCell ref="J12:K12"/>
    <mergeCell ref="O12:P12"/>
    <mergeCell ref="J9:K9"/>
    <mergeCell ref="M9:N9"/>
    <mergeCell ref="O9:P9"/>
    <mergeCell ref="E10:F10"/>
    <mergeCell ref="J10:K10"/>
    <mergeCell ref="O10:P10"/>
    <mergeCell ref="A9:A10"/>
    <mergeCell ref="C9:D9"/>
    <mergeCell ref="E9:F9"/>
    <mergeCell ref="H9:I9"/>
    <mergeCell ref="D1:N3"/>
    <mergeCell ref="N4:P8"/>
    <mergeCell ref="D6:F7"/>
    <mergeCell ref="H6:J6"/>
    <mergeCell ref="H7:J7"/>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K39"/>
  <sheetViews>
    <sheetView workbookViewId="0" topLeftCell="A1">
      <selection activeCell="I6" sqref="I6"/>
    </sheetView>
  </sheetViews>
  <sheetFormatPr defaultColWidth="9.140625" defaultRowHeight="12.75"/>
  <cols>
    <col min="11" max="11" width="17.57421875" style="0" customWidth="1"/>
  </cols>
  <sheetData>
    <row r="1" spans="1:11" ht="24.75" customHeight="1" thickTop="1">
      <c r="A1" s="124" t="s">
        <v>36</v>
      </c>
      <c r="B1" s="125"/>
      <c r="C1" s="125"/>
      <c r="D1" s="125"/>
      <c r="E1" s="125"/>
      <c r="F1" s="125"/>
      <c r="G1" s="125"/>
      <c r="H1" s="125"/>
      <c r="I1" s="125"/>
      <c r="J1" s="125"/>
      <c r="K1" s="126"/>
    </row>
    <row r="2" spans="1:11" ht="24.75" customHeight="1">
      <c r="A2" s="127"/>
      <c r="B2" s="128"/>
      <c r="C2" s="128"/>
      <c r="D2" s="128"/>
      <c r="E2" s="128"/>
      <c r="F2" s="128"/>
      <c r="G2" s="128"/>
      <c r="H2" s="128"/>
      <c r="I2" s="128"/>
      <c r="J2" s="128"/>
      <c r="K2" s="129"/>
    </row>
    <row r="3" spans="1:11" ht="24.75" customHeight="1" thickBot="1">
      <c r="A3" s="130"/>
      <c r="B3" s="131"/>
      <c r="C3" s="131"/>
      <c r="D3" s="131"/>
      <c r="E3" s="131"/>
      <c r="F3" s="131"/>
      <c r="G3" s="131"/>
      <c r="H3" s="131"/>
      <c r="I3" s="131"/>
      <c r="J3" s="131"/>
      <c r="K3" s="132"/>
    </row>
    <row r="4" ht="8.25" customHeight="1" thickBot="1" thickTop="1"/>
    <row r="5" spans="5:8" ht="13.5" customHeight="1" thickTop="1">
      <c r="E5" s="147" t="s">
        <v>0</v>
      </c>
      <c r="F5" s="144" t="s">
        <v>20</v>
      </c>
      <c r="G5" s="160" t="s">
        <v>24</v>
      </c>
      <c r="H5" s="153" t="s">
        <v>25</v>
      </c>
    </row>
    <row r="6" spans="5:8" ht="13.5" thickBot="1">
      <c r="E6" s="158"/>
      <c r="F6" s="145"/>
      <c r="G6" s="161"/>
      <c r="H6" s="154"/>
    </row>
    <row r="7" spans="2:8" ht="12.75">
      <c r="B7" s="87"/>
      <c r="E7" s="88">
        <v>1</v>
      </c>
      <c r="F7" s="89">
        <v>77.6</v>
      </c>
      <c r="G7" s="90">
        <v>82.5</v>
      </c>
      <c r="H7" s="91">
        <v>85.5</v>
      </c>
    </row>
    <row r="8" spans="2:8" ht="12.75">
      <c r="B8" s="87"/>
      <c r="D8" s="92"/>
      <c r="E8" s="93">
        <v>1.5</v>
      </c>
      <c r="F8" s="94">
        <v>79.3</v>
      </c>
      <c r="G8" s="95">
        <v>84</v>
      </c>
      <c r="H8" s="96">
        <v>86.5</v>
      </c>
    </row>
    <row r="9" spans="2:8" ht="12.75">
      <c r="B9" s="87"/>
      <c r="D9" s="92"/>
      <c r="E9" s="93">
        <v>2</v>
      </c>
      <c r="F9" s="94">
        <v>80.5</v>
      </c>
      <c r="G9" s="95">
        <v>84</v>
      </c>
      <c r="H9" s="96">
        <v>86.5</v>
      </c>
    </row>
    <row r="10" spans="2:8" ht="12.75">
      <c r="B10" s="87"/>
      <c r="D10" s="92"/>
      <c r="E10" s="93">
        <v>3</v>
      </c>
      <c r="F10" s="94">
        <v>82.4</v>
      </c>
      <c r="G10" s="95">
        <v>86.5</v>
      </c>
      <c r="H10" s="96">
        <v>89.5</v>
      </c>
    </row>
    <row r="11" spans="2:11" ht="12.75">
      <c r="B11" s="87"/>
      <c r="D11" s="92"/>
      <c r="E11" s="93">
        <v>5</v>
      </c>
      <c r="F11" s="94">
        <v>83.8</v>
      </c>
      <c r="G11" s="95">
        <v>87.5</v>
      </c>
      <c r="H11" s="96">
        <v>89.5</v>
      </c>
      <c r="K11" s="87"/>
    </row>
    <row r="12" spans="2:8" ht="12.75">
      <c r="B12" s="87"/>
      <c r="D12" s="92"/>
      <c r="E12" s="93">
        <v>7.5</v>
      </c>
      <c r="F12" s="94">
        <v>85.2</v>
      </c>
      <c r="G12" s="95">
        <v>88.5</v>
      </c>
      <c r="H12" s="96">
        <v>91</v>
      </c>
    </row>
    <row r="13" spans="2:8" ht="12.75">
      <c r="B13" s="87"/>
      <c r="D13" s="92"/>
      <c r="E13" s="93">
        <v>10</v>
      </c>
      <c r="F13" s="94">
        <v>86.1</v>
      </c>
      <c r="G13" s="95">
        <v>89.5</v>
      </c>
      <c r="H13" s="96">
        <v>91.7</v>
      </c>
    </row>
    <row r="14" spans="2:8" ht="12.75">
      <c r="B14" s="87"/>
      <c r="D14" s="92"/>
      <c r="E14" s="93">
        <v>15</v>
      </c>
      <c r="F14" s="94">
        <v>87.8</v>
      </c>
      <c r="G14" s="95">
        <v>91</v>
      </c>
      <c r="H14" s="96">
        <v>93</v>
      </c>
    </row>
    <row r="15" spans="2:8" ht="12.75">
      <c r="B15" s="87"/>
      <c r="D15" s="92"/>
      <c r="E15" s="93">
        <v>20</v>
      </c>
      <c r="F15" s="94">
        <v>88.3</v>
      </c>
      <c r="G15" s="95">
        <v>91</v>
      </c>
      <c r="H15" s="96">
        <v>93</v>
      </c>
    </row>
    <row r="16" spans="2:8" ht="12.75">
      <c r="B16" s="87"/>
      <c r="D16" s="92"/>
      <c r="E16" s="93">
        <v>25</v>
      </c>
      <c r="F16" s="94">
        <v>88.9</v>
      </c>
      <c r="G16" s="95">
        <v>91.7</v>
      </c>
      <c r="H16" s="96">
        <v>93.6</v>
      </c>
    </row>
    <row r="17" spans="2:8" ht="12.75">
      <c r="B17" s="87"/>
      <c r="D17" s="92"/>
      <c r="E17" s="93">
        <v>30</v>
      </c>
      <c r="F17" s="94">
        <v>88.9</v>
      </c>
      <c r="G17" s="95">
        <v>92.4</v>
      </c>
      <c r="H17" s="96">
        <v>94.1</v>
      </c>
    </row>
    <row r="18" spans="2:8" ht="12.75">
      <c r="B18" s="87"/>
      <c r="D18" s="92"/>
      <c r="E18" s="93">
        <v>40</v>
      </c>
      <c r="F18" s="94">
        <v>90</v>
      </c>
      <c r="G18" s="95">
        <v>93</v>
      </c>
      <c r="H18" s="96">
        <v>94.1</v>
      </c>
    </row>
    <row r="19" spans="2:8" ht="12.75">
      <c r="B19" s="87"/>
      <c r="D19" s="92"/>
      <c r="E19" s="93">
        <v>50</v>
      </c>
      <c r="F19" s="94">
        <v>90.7</v>
      </c>
      <c r="G19" s="95">
        <v>93</v>
      </c>
      <c r="H19" s="96">
        <v>94.5</v>
      </c>
    </row>
    <row r="20" spans="2:8" ht="12.75">
      <c r="B20" s="87"/>
      <c r="D20" s="92"/>
      <c r="E20" s="93">
        <v>60</v>
      </c>
      <c r="F20" s="94">
        <v>91.3</v>
      </c>
      <c r="G20" s="95">
        <v>93.6</v>
      </c>
      <c r="H20" s="96">
        <v>95</v>
      </c>
    </row>
    <row r="21" spans="2:8" ht="12.75">
      <c r="B21" s="87"/>
      <c r="D21" s="92"/>
      <c r="E21" s="93">
        <v>75</v>
      </c>
      <c r="F21" s="94">
        <v>91.9</v>
      </c>
      <c r="G21" s="95">
        <v>94.1</v>
      </c>
      <c r="H21" s="96">
        <v>95</v>
      </c>
    </row>
    <row r="22" spans="2:8" ht="12.75">
      <c r="B22" s="87"/>
      <c r="D22" s="92"/>
      <c r="E22" s="93">
        <v>100</v>
      </c>
      <c r="F22" s="94">
        <v>92.1</v>
      </c>
      <c r="G22" s="95">
        <v>94.1</v>
      </c>
      <c r="H22" s="96">
        <v>95.4</v>
      </c>
    </row>
    <row r="23" spans="2:8" ht="12.75">
      <c r="B23" s="87"/>
      <c r="D23" s="92"/>
      <c r="E23" s="93">
        <v>125</v>
      </c>
      <c r="F23" s="94">
        <v>92.2</v>
      </c>
      <c r="G23" s="95">
        <v>94.5</v>
      </c>
      <c r="H23" s="96">
        <v>95.4</v>
      </c>
    </row>
    <row r="24" spans="2:8" ht="12.75">
      <c r="B24" s="87"/>
      <c r="D24" s="92"/>
      <c r="E24" s="93">
        <v>150</v>
      </c>
      <c r="F24" s="94">
        <v>92.8</v>
      </c>
      <c r="G24" s="95">
        <v>95</v>
      </c>
      <c r="H24" s="96">
        <v>95.8</v>
      </c>
    </row>
    <row r="25" spans="2:8" ht="13.5" thickBot="1">
      <c r="B25" s="87"/>
      <c r="E25" s="97">
        <v>200</v>
      </c>
      <c r="F25" s="98">
        <v>93</v>
      </c>
      <c r="G25" s="99">
        <v>95</v>
      </c>
      <c r="H25" s="100">
        <v>95.8</v>
      </c>
    </row>
    <row r="26" spans="2:4" ht="13.5" thickBot="1">
      <c r="B26" s="87"/>
      <c r="C26" s="101"/>
      <c r="D26" s="87"/>
    </row>
    <row r="27" spans="5:8" ht="13.5" customHeight="1" thickTop="1">
      <c r="E27" s="147" t="s">
        <v>0</v>
      </c>
      <c r="F27" s="144" t="s">
        <v>20</v>
      </c>
      <c r="G27" s="160" t="s">
        <v>26</v>
      </c>
      <c r="H27" s="153" t="s">
        <v>25</v>
      </c>
    </row>
    <row r="28" spans="5:8" ht="13.5" thickBot="1">
      <c r="E28" s="158"/>
      <c r="F28" s="146"/>
      <c r="G28" s="161"/>
      <c r="H28" s="154"/>
    </row>
    <row r="29" spans="5:8" ht="12.75">
      <c r="E29" s="88">
        <v>250</v>
      </c>
      <c r="F29" s="89">
        <v>94.4</v>
      </c>
      <c r="G29" s="102">
        <v>95.4</v>
      </c>
      <c r="H29" s="91">
        <v>95.8</v>
      </c>
    </row>
    <row r="30" spans="5:8" ht="12.75">
      <c r="E30" s="103">
        <v>300</v>
      </c>
      <c r="F30" s="94">
        <v>94.6</v>
      </c>
      <c r="G30" s="104">
        <v>95.4</v>
      </c>
      <c r="H30" s="96">
        <v>95.8</v>
      </c>
    </row>
    <row r="31" spans="5:8" ht="12.75">
      <c r="E31" s="103">
        <v>350</v>
      </c>
      <c r="F31" s="94">
        <v>94.1</v>
      </c>
      <c r="G31" s="104">
        <v>95.4</v>
      </c>
      <c r="H31" s="96">
        <v>95.8</v>
      </c>
    </row>
    <row r="32" spans="5:8" ht="12.75">
      <c r="E32" s="103">
        <v>400</v>
      </c>
      <c r="F32" s="94">
        <v>94.7</v>
      </c>
      <c r="G32" s="104">
        <v>95.4</v>
      </c>
      <c r="H32" s="96">
        <v>95.8</v>
      </c>
    </row>
    <row r="33" spans="5:8" ht="12.75">
      <c r="E33" s="103">
        <v>450</v>
      </c>
      <c r="F33" s="94">
        <v>95</v>
      </c>
      <c r="G33" s="104">
        <v>95.8</v>
      </c>
      <c r="H33" s="96">
        <v>96.2</v>
      </c>
    </row>
    <row r="34" spans="5:8" ht="13.5" thickBot="1">
      <c r="E34" s="97">
        <v>500</v>
      </c>
      <c r="F34" s="98">
        <v>95</v>
      </c>
      <c r="G34" s="105">
        <v>95.8</v>
      </c>
      <c r="H34" s="100">
        <v>96.2</v>
      </c>
    </row>
    <row r="35" spans="3:5" ht="12.75">
      <c r="C35" s="87"/>
      <c r="E35" s="87"/>
    </row>
    <row r="36" spans="4:9" ht="12.75" customHeight="1">
      <c r="D36" s="157" t="s">
        <v>27</v>
      </c>
      <c r="E36" s="157"/>
      <c r="F36" s="157"/>
      <c r="G36" s="157"/>
      <c r="H36" s="157"/>
      <c r="I36" s="157"/>
    </row>
    <row r="37" spans="4:9" ht="12.75" customHeight="1">
      <c r="D37" s="151" t="s">
        <v>21</v>
      </c>
      <c r="E37" s="151"/>
      <c r="F37" s="151"/>
      <c r="G37" s="151"/>
      <c r="H37" s="151"/>
      <c r="I37" s="151"/>
    </row>
    <row r="38" spans="4:9" ht="12.75" customHeight="1">
      <c r="D38" s="151" t="s">
        <v>22</v>
      </c>
      <c r="E38" s="151"/>
      <c r="F38" s="151"/>
      <c r="G38" s="151"/>
      <c r="H38" s="151"/>
      <c r="I38" s="151"/>
    </row>
    <row r="39" spans="4:9" ht="12.75">
      <c r="D39" s="162" t="s">
        <v>23</v>
      </c>
      <c r="E39" s="162"/>
      <c r="F39" s="162"/>
      <c r="G39" s="162"/>
      <c r="H39" s="162"/>
      <c r="I39" s="162"/>
    </row>
  </sheetData>
  <sheetProtection password="8734" sheet="1" objects="1" scenarios="1"/>
  <mergeCells count="13">
    <mergeCell ref="D36:I36"/>
    <mergeCell ref="D37:I37"/>
    <mergeCell ref="D38:I38"/>
    <mergeCell ref="D39:I39"/>
    <mergeCell ref="E27:E28"/>
    <mergeCell ref="F27:F28"/>
    <mergeCell ref="G27:G28"/>
    <mergeCell ref="H27:H28"/>
    <mergeCell ref="A1:K3"/>
    <mergeCell ref="E5:E6"/>
    <mergeCell ref="F5:F6"/>
    <mergeCell ref="G5:G6"/>
    <mergeCell ref="H5:H6"/>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Ilene Mason</dc:creator>
  <cp:keywords/>
  <dc:description/>
  <cp:lastModifiedBy>jharvey</cp:lastModifiedBy>
  <cp:lastPrinted>2005-11-07T22:05:09Z</cp:lastPrinted>
  <dcterms:created xsi:type="dcterms:W3CDTF">2005-09-16T13:36:09Z</dcterms:created>
  <dcterms:modified xsi:type="dcterms:W3CDTF">2007-04-03T19:03:05Z</dcterms:modified>
  <cp:category/>
  <cp:version/>
  <cp:contentType/>
  <cp:contentStatus/>
</cp:coreProperties>
</file>